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heckCompatibility="1"/>
  <mc:AlternateContent xmlns:mc="http://schemas.openxmlformats.org/markup-compatibility/2006">
    <mc:Choice Requires="x15">
      <x15ac:absPath xmlns:x15ac="http://schemas.microsoft.com/office/spreadsheetml/2010/11/ac" url="C:\Users\Podatelna\Documents\OBEC ČESKÁ\Rozpočty Obce Česká\Rozpočet 2026, návrh, schválený\"/>
    </mc:Choice>
  </mc:AlternateContent>
  <xr:revisionPtr revIDLastSave="0" documentId="8_{46B7E815-08A5-4E52-BD88-5E4076F6463D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Střednědobý výhled" sheetId="1" r:id="rId1"/>
    <sheet name="Příjmy 2024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" i="1" l="1"/>
  <c r="P34" i="1"/>
  <c r="P21" i="1"/>
  <c r="P20" i="1"/>
  <c r="P19" i="1"/>
  <c r="P18" i="1"/>
  <c r="P16" i="1"/>
  <c r="R34" i="1"/>
  <c r="P25" i="1"/>
  <c r="P26" i="1"/>
  <c r="P24" i="1"/>
  <c r="P23" i="1"/>
  <c r="P15" i="1"/>
  <c r="N26" i="1"/>
  <c r="N25" i="1"/>
  <c r="N22" i="1"/>
  <c r="N21" i="1"/>
  <c r="N20" i="1"/>
  <c r="N19" i="1"/>
  <c r="N18" i="1"/>
  <c r="N17" i="1"/>
  <c r="N16" i="1"/>
  <c r="N15" i="1"/>
  <c r="N9" i="1"/>
  <c r="N34" i="1"/>
  <c r="P46" i="1" l="1"/>
  <c r="V31" i="1"/>
  <c r="V46" i="1" s="1"/>
  <c r="T31" i="1"/>
  <c r="T46" i="1" s="1"/>
  <c r="R31" i="1"/>
  <c r="R46" i="1" s="1"/>
  <c r="P31" i="1"/>
  <c r="N31" i="1"/>
  <c r="N46" i="1" s="1"/>
  <c r="L31" i="1"/>
  <c r="L46" i="1" s="1"/>
  <c r="L34" i="1" l="1"/>
  <c r="L36" i="1" s="1"/>
  <c r="L22" i="1"/>
  <c r="L20" i="1"/>
  <c r="L18" i="1"/>
  <c r="L17" i="1"/>
  <c r="L26" i="1"/>
  <c r="L25" i="1"/>
  <c r="L21" i="1"/>
  <c r="L19" i="1"/>
  <c r="L16" i="1"/>
  <c r="L15" i="1"/>
  <c r="V34" i="1"/>
  <c r="V36" i="1" s="1"/>
  <c r="V38" i="1" s="1"/>
  <c r="R9" i="1"/>
  <c r="T9" i="1" s="1"/>
  <c r="V9" i="1" s="1"/>
  <c r="T34" i="1"/>
  <c r="T36" i="1" s="1"/>
  <c r="T38" i="1" s="1"/>
  <c r="L12" i="1"/>
  <c r="H34" i="1"/>
  <c r="H36" i="1" s="1"/>
  <c r="H38" i="1" s="1"/>
  <c r="H35" i="1"/>
  <c r="J34" i="1"/>
  <c r="J36" i="1" s="1"/>
  <c r="J38" i="1" s="1"/>
  <c r="J20" i="1"/>
  <c r="J18" i="1"/>
  <c r="J17" i="1"/>
  <c r="L27" i="1" l="1"/>
  <c r="L29" i="1" s="1"/>
  <c r="J21" i="1"/>
  <c r="J25" i="1"/>
  <c r="J26" i="1"/>
  <c r="J19" i="1"/>
  <c r="J16" i="1"/>
  <c r="J15" i="1"/>
  <c r="F16" i="2"/>
  <c r="E3" i="2"/>
  <c r="E16" i="2" s="1"/>
  <c r="E5" i="2"/>
  <c r="E4" i="2"/>
  <c r="E6" i="2"/>
  <c r="C16" i="2"/>
  <c r="E14" i="2"/>
  <c r="E15" i="2"/>
  <c r="E8" i="2"/>
  <c r="R36" i="1"/>
  <c r="R38" i="1" s="1"/>
  <c r="J12" i="1"/>
  <c r="H20" i="1"/>
  <c r="H19" i="1"/>
  <c r="H18" i="1"/>
  <c r="H17" i="1"/>
  <c r="H26" i="1"/>
  <c r="H11" i="1"/>
  <c r="H25" i="1"/>
  <c r="H21" i="1"/>
  <c r="H22" i="1"/>
  <c r="H15" i="1"/>
  <c r="H16" i="1"/>
  <c r="L30" i="1" l="1"/>
  <c r="H27" i="1"/>
  <c r="R19" i="1" l="1"/>
  <c r="T19" i="1" s="1"/>
  <c r="V19" i="1" s="1"/>
  <c r="P36" i="1" l="1"/>
  <c r="P38" i="1" s="1"/>
  <c r="F26" i="1"/>
  <c r="F19" i="1"/>
  <c r="F34" i="1"/>
  <c r="F21" i="1"/>
  <c r="F25" i="1"/>
  <c r="F23" i="1"/>
  <c r="F22" i="1"/>
  <c r="F20" i="1"/>
  <c r="F18" i="1"/>
  <c r="F17" i="1"/>
  <c r="F16" i="1"/>
  <c r="F15" i="1"/>
  <c r="H12" i="1" l="1"/>
  <c r="H29" i="1" l="1"/>
  <c r="R26" i="1"/>
  <c r="T26" i="1" s="1"/>
  <c r="V26" i="1" s="1"/>
  <c r="R25" i="1"/>
  <c r="T25" i="1" s="1"/>
  <c r="V25" i="1" s="1"/>
  <c r="R24" i="1"/>
  <c r="T24" i="1" s="1"/>
  <c r="V24" i="1" s="1"/>
  <c r="R23" i="1"/>
  <c r="T23" i="1" s="1"/>
  <c r="V23" i="1" s="1"/>
  <c r="R22" i="1"/>
  <c r="T22" i="1" s="1"/>
  <c r="V22" i="1" s="1"/>
  <c r="R21" i="1"/>
  <c r="T21" i="1" s="1"/>
  <c r="V21" i="1" s="1"/>
  <c r="R20" i="1"/>
  <c r="T20" i="1" s="1"/>
  <c r="V20" i="1" s="1"/>
  <c r="R18" i="1"/>
  <c r="T18" i="1" s="1"/>
  <c r="V18" i="1" s="1"/>
  <c r="R17" i="1"/>
  <c r="T17" i="1" s="1"/>
  <c r="V17" i="1" s="1"/>
  <c r="R16" i="1"/>
  <c r="T16" i="1" s="1"/>
  <c r="V16" i="1" s="1"/>
  <c r="R10" i="1"/>
  <c r="T10" i="1" s="1"/>
  <c r="V10" i="1" s="1"/>
  <c r="V12" i="1" s="1"/>
  <c r="H30" i="1" l="1"/>
  <c r="H42" i="1"/>
  <c r="J27" i="1"/>
  <c r="N36" i="1"/>
  <c r="N38" i="1" s="1"/>
  <c r="J29" i="1" l="1"/>
  <c r="F27" i="1"/>
  <c r="D10" i="1"/>
  <c r="D40" i="1"/>
  <c r="D19" i="1"/>
  <c r="J30" i="1" l="1"/>
  <c r="J42" i="1"/>
  <c r="N27" i="1"/>
  <c r="N12" i="1"/>
  <c r="N29" i="1" s="1"/>
  <c r="F12" i="1"/>
  <c r="D26" i="1"/>
  <c r="D25" i="1"/>
  <c r="D22" i="1"/>
  <c r="D21" i="1"/>
  <c r="D20" i="1"/>
  <c r="D18" i="1"/>
  <c r="D16" i="1"/>
  <c r="D15" i="1"/>
  <c r="D11" i="1"/>
  <c r="D9" i="1"/>
  <c r="P27" i="1" l="1"/>
  <c r="R15" i="1"/>
  <c r="P12" i="1"/>
  <c r="D12" i="1"/>
  <c r="D36" i="1"/>
  <c r="R12" i="1" l="1"/>
  <c r="T12" i="1"/>
  <c r="R27" i="1"/>
  <c r="T15" i="1"/>
  <c r="P29" i="1"/>
  <c r="F36" i="1"/>
  <c r="F38" i="1" s="1"/>
  <c r="P30" i="1" l="1"/>
  <c r="P42" i="1"/>
  <c r="T27" i="1"/>
  <c r="T29" i="1" s="1"/>
  <c r="T42" i="1" s="1"/>
  <c r="V15" i="1"/>
  <c r="V27" i="1" s="1"/>
  <c r="V29" i="1" s="1"/>
  <c r="V42" i="1" s="1"/>
  <c r="R29" i="1"/>
  <c r="R42" i="1" s="1"/>
  <c r="D38" i="1"/>
  <c r="D27" i="1" l="1"/>
  <c r="L38" i="1"/>
  <c r="L42" i="1" s="1"/>
  <c r="F29" i="1" l="1"/>
  <c r="F42" i="1" s="1"/>
  <c r="D29" i="1" l="1"/>
  <c r="N42" i="1" l="1"/>
  <c r="D42" i="1"/>
  <c r="D44" i="1" s="1"/>
  <c r="F40" i="1" s="1"/>
  <c r="N30" i="1" l="1"/>
  <c r="F44" i="1"/>
  <c r="H40" i="1" s="1"/>
  <c r="H44" i="1" s="1"/>
  <c r="J40" i="1" s="1"/>
  <c r="J44" i="1" s="1"/>
  <c r="L40" i="1" s="1"/>
  <c r="L44" i="1" s="1"/>
  <c r="N40" i="1" s="1"/>
  <c r="N44" i="1" s="1"/>
  <c r="P40" i="1" s="1"/>
  <c r="P44" i="1" s="1"/>
  <c r="R40" i="1" l="1"/>
  <c r="R44" i="1" s="1"/>
  <c r="T40" i="1" s="1"/>
  <c r="T44" i="1" s="1"/>
  <c r="V40" i="1" s="1"/>
  <c r="V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Dolezal, Marek</author>
  </authors>
  <commentList>
    <comment ref="H3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Dolezal, Marek:</t>
        </r>
        <r>
          <rPr>
            <sz val="9"/>
            <color indexed="81"/>
            <rFont val="Tahoma"/>
            <family val="2"/>
            <charset val="238"/>
          </rPr>
          <t xml:space="preserve">
korekce zůstatku 445</t>
        </r>
      </text>
    </comment>
  </commentList>
</comments>
</file>

<file path=xl/sharedStrings.xml><?xml version="1.0" encoding="utf-8"?>
<sst xmlns="http://schemas.openxmlformats.org/spreadsheetml/2006/main" count="77" uniqueCount="77">
  <si>
    <t>Běžná část rozpočtu</t>
  </si>
  <si>
    <t>Běžné příjmy</t>
  </si>
  <si>
    <t>Daňové</t>
  </si>
  <si>
    <t>Běžné výdaje</t>
  </si>
  <si>
    <t>Pozemní komunikace, silniční doprava, cest.ruch</t>
  </si>
  <si>
    <t>Pitná voda, odpadní voda, vodní toky</t>
  </si>
  <si>
    <t>Školství</t>
  </si>
  <si>
    <t>Kultura a památky</t>
  </si>
  <si>
    <t>Nakládání s odpady</t>
  </si>
  <si>
    <t>Požární ochrana</t>
  </si>
  <si>
    <t xml:space="preserve">Sociální služby a ost.služby pro obyvatelstvo </t>
  </si>
  <si>
    <t>Běžné příjmy celkem</t>
  </si>
  <si>
    <t>Běžné výdaje celkem</t>
  </si>
  <si>
    <t>SALDO Běžného provozu</t>
  </si>
  <si>
    <t>Investiční část rozpočtu</t>
  </si>
  <si>
    <t>Vlastní prostředky</t>
  </si>
  <si>
    <t>Investice požadavek na rozpočet</t>
  </si>
  <si>
    <t>Přebytek z minulých let</t>
  </si>
  <si>
    <t>Zůstatek na konci roku</t>
  </si>
  <si>
    <t>tis. Kč</t>
  </si>
  <si>
    <t>Použití přebytku/úvěru</t>
  </si>
  <si>
    <t>Veřejná zeleň a vzhled obce</t>
  </si>
  <si>
    <t>Nedańové ( poplatky, pronájmy )</t>
  </si>
  <si>
    <t>Investice</t>
  </si>
  <si>
    <t>Výdaje</t>
  </si>
  <si>
    <t>Investice výdaje - tis. Kč</t>
  </si>
  <si>
    <t xml:space="preserve">Úvěr ( + čerpání, - splácení ) </t>
  </si>
  <si>
    <t>Investiční úvěr na výstavbu Komunitního centra:</t>
  </si>
  <si>
    <t>Zastupitelstvo a místní správa, Volby</t>
  </si>
  <si>
    <t>Sport, zájmová a komunitní činnost</t>
  </si>
  <si>
    <t>Víceúčelové hřiště u Sokolovny</t>
  </si>
  <si>
    <t xml:space="preserve">Sňato:        </t>
  </si>
  <si>
    <t>Finanční operace, daně, pojištění, ostatní</t>
  </si>
  <si>
    <t>Nesplacená výše úvěru k 31.12.2026 - 79 tis. Kč</t>
  </si>
  <si>
    <t>Modernizace Sokolovny</t>
  </si>
  <si>
    <t>Pol</t>
  </si>
  <si>
    <t>Název</t>
  </si>
  <si>
    <t>1111</t>
  </si>
  <si>
    <t>Příjem z daně z příjmů fyzických osob placené plátci</t>
  </si>
  <si>
    <t>1112</t>
  </si>
  <si>
    <t>Příjem z daně z příjmů fyzických osob placené poplatníky</t>
  </si>
  <si>
    <t>1113</t>
  </si>
  <si>
    <t>Příjem z daně z příjmů fyzických osob vybírané srážkou podle zvláštní sazby daně</t>
  </si>
  <si>
    <t>1121</t>
  </si>
  <si>
    <t>Příjem z daně z příjmů právnických osob</t>
  </si>
  <si>
    <t>1122</t>
  </si>
  <si>
    <t>1211</t>
  </si>
  <si>
    <t>Příjem z daně z přidané hodnoty</t>
  </si>
  <si>
    <t>1334</t>
  </si>
  <si>
    <t>1341</t>
  </si>
  <si>
    <t>Příjem z poplatku ze psů</t>
  </si>
  <si>
    <t>1343</t>
  </si>
  <si>
    <t>Příjem z poplatku za užívání veřejného prostranství</t>
  </si>
  <si>
    <t>1345</t>
  </si>
  <si>
    <t>1361</t>
  </si>
  <si>
    <t>Příjem ze správních poplatků</t>
  </si>
  <si>
    <t>1381</t>
  </si>
  <si>
    <t>Příjem z daně z hazardních her s výjimkou dílčí daně z technických her</t>
  </si>
  <si>
    <t>1511</t>
  </si>
  <si>
    <t>Příjem z daně z nemovitých věcí</t>
  </si>
  <si>
    <t>Příjem z odvodů za odnětí půdy ze zemědělského půdního fondu</t>
  </si>
  <si>
    <t>Příjem z daně z příjmů právnických osob v případech, kdy poplatníkem je obec</t>
  </si>
  <si>
    <t>Příjem z poplatku za obecní systém OH a příjem z poplatku za odkládání KO</t>
  </si>
  <si>
    <t>Příjmy 2024</t>
  </si>
  <si>
    <t>Příjmy 2023</t>
  </si>
  <si>
    <t xml:space="preserve"> 2024/23</t>
  </si>
  <si>
    <t>Návrh rozpočtu</t>
  </si>
  <si>
    <t>Dlouhodobý závazek - splátky modemu O2:</t>
  </si>
  <si>
    <t xml:space="preserve">Splátkový kalendář na 5 let </t>
  </si>
  <si>
    <t xml:space="preserve">Splácení úvěru ve výši 1 500 tis. Kč ročně. </t>
  </si>
  <si>
    <t>Poslední období splácení úvěru - 01/2027</t>
  </si>
  <si>
    <t>2027 - 2029</t>
  </si>
  <si>
    <t>Komunitní centrum, Zahrada za OÚ, územní plán.a rozvoj</t>
  </si>
  <si>
    <t>Příspěvky, úroky, tranfery, dotace</t>
  </si>
  <si>
    <t xml:space="preserve">Měsíční splátka 69 Kč, poslední splátka v roce 2027 </t>
  </si>
  <si>
    <t xml:space="preserve">Střednědobý výhled rozpočtu obce Česká </t>
  </si>
  <si>
    <t>Vyvěšeno:  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</si>
</sst>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K_č_-;\-* #,##0\ _K_č_-;_-* &quot;-&quot;\ _K_č_-;_-@_-"/>
    <numFmt numFmtId="165" formatCode="0.0%"/>
    <numFmt numFmtId="166" formatCode="_-* #,##0\ _K_č_-;\-* #,##0\ _K_č_-;_-* &quot;-&quot;?\ _K_č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/>
    </xf>
    <xf numFmtId="164" fontId="0" fillId="0" borderId="1" xfId="0" applyNumberFormat="1" applyBorder="1"/>
    <xf numFmtId="164" fontId="0" fillId="0" borderId="0" xfId="0" applyNumberFormat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/>
    <xf numFmtId="0" fontId="0" fillId="0" borderId="6" xfId="0" applyBorder="1"/>
    <xf numFmtId="0" fontId="0" fillId="0" borderId="8" xfId="0" applyBorder="1"/>
    <xf numFmtId="0" fontId="1" fillId="5" borderId="2" xfId="0" applyFont="1" applyFill="1" applyBorder="1"/>
    <xf numFmtId="0" fontId="0" fillId="0" borderId="9" xfId="0" applyBorder="1"/>
    <xf numFmtId="0" fontId="1" fillId="0" borderId="2" xfId="0" applyFont="1" applyBorder="1"/>
    <xf numFmtId="164" fontId="1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/>
    <xf numFmtId="0" fontId="6" fillId="0" borderId="0" xfId="0" applyFont="1"/>
    <xf numFmtId="0" fontId="3" fillId="0" borderId="0" xfId="0" applyFont="1"/>
    <xf numFmtId="0" fontId="0" fillId="0" borderId="13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0" fontId="1" fillId="3" borderId="2" xfId="0" applyFont="1" applyFill="1" applyBorder="1"/>
    <xf numFmtId="0" fontId="7" fillId="0" borderId="0" xfId="0" applyFont="1" applyAlignment="1">
      <alignment vertical="center"/>
    </xf>
    <xf numFmtId="0" fontId="1" fillId="0" borderId="0" xfId="0" applyFont="1"/>
    <xf numFmtId="0" fontId="0" fillId="0" borderId="11" xfId="0" applyBorder="1"/>
    <xf numFmtId="164" fontId="1" fillId="0" borderId="1" xfId="0" applyNumberFormat="1" applyFont="1" applyBorder="1"/>
    <xf numFmtId="164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0" fontId="0" fillId="0" borderId="14" xfId="0" applyBorder="1"/>
    <xf numFmtId="164" fontId="1" fillId="2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/>
    <xf numFmtId="164" fontId="1" fillId="4" borderId="1" xfId="0" applyNumberFormat="1" applyFont="1" applyFill="1" applyBorder="1"/>
    <xf numFmtId="164" fontId="1" fillId="0" borderId="15" xfId="0" applyNumberFormat="1" applyFont="1" applyBorder="1"/>
    <xf numFmtId="164" fontId="1" fillId="3" borderId="15" xfId="0" applyNumberFormat="1" applyFont="1" applyFill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5" xfId="0" applyNumberFormat="1" applyBorder="1"/>
    <xf numFmtId="164" fontId="1" fillId="2" borderId="15" xfId="0" applyNumberFormat="1" applyFont="1" applyFill="1" applyBorder="1" applyAlignment="1">
      <alignment horizontal="center"/>
    </xf>
    <xf numFmtId="164" fontId="1" fillId="5" borderId="15" xfId="0" applyNumberFormat="1" applyFont="1" applyFill="1" applyBorder="1" applyAlignment="1">
      <alignment horizontal="center"/>
    </xf>
    <xf numFmtId="0" fontId="1" fillId="5" borderId="16" xfId="0" applyFont="1" applyFill="1" applyBorder="1"/>
    <xf numFmtId="164" fontId="1" fillId="4" borderId="15" xfId="0" applyNumberFormat="1" applyFont="1" applyFill="1" applyBorder="1"/>
    <xf numFmtId="0" fontId="1" fillId="4" borderId="2" xfId="0" applyFont="1" applyFill="1" applyBorder="1"/>
    <xf numFmtId="164" fontId="8" fillId="0" borderId="1" xfId="0" applyNumberFormat="1" applyFont="1" applyBorder="1"/>
    <xf numFmtId="164" fontId="1" fillId="0" borderId="17" xfId="0" applyNumberFormat="1" applyFont="1" applyBorder="1"/>
    <xf numFmtId="164" fontId="0" fillId="0" borderId="17" xfId="0" applyNumberFormat="1" applyBorder="1"/>
    <xf numFmtId="164" fontId="1" fillId="3" borderId="17" xfId="0" applyNumberFormat="1" applyFont="1" applyFill="1" applyBorder="1"/>
    <xf numFmtId="164" fontId="0" fillId="0" borderId="21" xfId="0" applyNumberFormat="1" applyBorder="1"/>
    <xf numFmtId="164" fontId="0" fillId="0" borderId="22" xfId="0" applyNumberFormat="1" applyBorder="1"/>
    <xf numFmtId="164" fontId="0" fillId="0" borderId="26" xfId="0" applyNumberFormat="1" applyBorder="1"/>
    <xf numFmtId="164" fontId="0" fillId="0" borderId="27" xfId="0" applyNumberFormat="1" applyBorder="1"/>
    <xf numFmtId="164" fontId="0" fillId="0" borderId="28" xfId="0" applyNumberFormat="1" applyBorder="1"/>
    <xf numFmtId="164" fontId="1" fillId="3" borderId="29" xfId="0" applyNumberFormat="1" applyFont="1" applyFill="1" applyBorder="1" applyAlignment="1">
      <alignment horizontal="center"/>
    </xf>
    <xf numFmtId="164" fontId="1" fillId="3" borderId="3" xfId="0" applyNumberFormat="1" applyFont="1" applyFill="1" applyBorder="1"/>
    <xf numFmtId="164" fontId="1" fillId="3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0" fillId="0" borderId="30" xfId="0" applyNumberFormat="1" applyBorder="1"/>
    <xf numFmtId="164" fontId="0" fillId="0" borderId="31" xfId="0" applyNumberFormat="1" applyBorder="1"/>
    <xf numFmtId="164" fontId="0" fillId="0" borderId="32" xfId="0" applyNumberFormat="1" applyBorder="1"/>
    <xf numFmtId="164" fontId="1" fillId="0" borderId="29" xfId="0" applyNumberFormat="1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164" fontId="1" fillId="3" borderId="17" xfId="0" applyNumberFormat="1" applyFont="1" applyFill="1" applyBorder="1" applyAlignment="1">
      <alignment horizontal="center"/>
    </xf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9" fillId="0" borderId="21" xfId="0" applyNumberFormat="1" applyFont="1" applyBorder="1"/>
    <xf numFmtId="164" fontId="1" fillId="2" borderId="17" xfId="0" applyNumberFormat="1" applyFont="1" applyFill="1" applyBorder="1" applyAlignment="1">
      <alignment horizontal="center"/>
    </xf>
    <xf numFmtId="164" fontId="0" fillId="0" borderId="33" xfId="0" applyNumberFormat="1" applyBorder="1"/>
    <xf numFmtId="164" fontId="1" fillId="2" borderId="29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5" borderId="17" xfId="0" applyNumberFormat="1" applyFont="1" applyFill="1" applyBorder="1" applyAlignment="1">
      <alignment horizontal="center"/>
    </xf>
    <xf numFmtId="164" fontId="1" fillId="5" borderId="29" xfId="0" applyNumberFormat="1" applyFont="1" applyFill="1" applyBorder="1" applyAlignment="1">
      <alignment horizontal="center"/>
    </xf>
    <xf numFmtId="164" fontId="1" fillId="5" borderId="3" xfId="0" applyNumberFormat="1" applyFont="1" applyFill="1" applyBorder="1" applyAlignment="1">
      <alignment horizontal="center"/>
    </xf>
    <xf numFmtId="164" fontId="0" fillId="0" borderId="29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23" xfId="0" applyNumberFormat="1" applyBorder="1"/>
    <xf numFmtId="164" fontId="0" fillId="0" borderId="24" xfId="0" applyNumberFormat="1" applyBorder="1"/>
    <xf numFmtId="164" fontId="0" fillId="0" borderId="25" xfId="0" applyNumberFormat="1" applyBorder="1"/>
    <xf numFmtId="164" fontId="1" fillId="4" borderId="17" xfId="0" applyNumberFormat="1" applyFont="1" applyFill="1" applyBorder="1"/>
    <xf numFmtId="164" fontId="1" fillId="4" borderId="29" xfId="0" applyNumberFormat="1" applyFont="1" applyFill="1" applyBorder="1"/>
    <xf numFmtId="164" fontId="1" fillId="4" borderId="3" xfId="0" applyNumberFormat="1" applyFont="1" applyFill="1" applyBorder="1"/>
    <xf numFmtId="164" fontId="1" fillId="4" borderId="4" xfId="0" applyNumberFormat="1" applyFont="1" applyFill="1" applyBorder="1"/>
    <xf numFmtId="0" fontId="0" fillId="0" borderId="23" xfId="0" applyBorder="1" applyAlignment="1">
      <alignment horizontal="left"/>
    </xf>
    <xf numFmtId="164" fontId="0" fillId="0" borderId="24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31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164" fontId="0" fillId="0" borderId="34" xfId="0" applyNumberFormat="1" applyBorder="1"/>
    <xf numFmtId="164" fontId="0" fillId="0" borderId="35" xfId="0" applyNumberFormat="1" applyBorder="1"/>
    <xf numFmtId="164" fontId="0" fillId="0" borderId="36" xfId="0" applyNumberFormat="1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9" fontId="0" fillId="0" borderId="0" xfId="1" applyFont="1" applyAlignment="1">
      <alignment horizontal="center"/>
    </xf>
    <xf numFmtId="0" fontId="1" fillId="6" borderId="0" xfId="0" applyFont="1" applyFill="1" applyAlignment="1">
      <alignment horizontal="center"/>
    </xf>
    <xf numFmtId="0" fontId="5" fillId="0" borderId="0" xfId="0" applyFont="1"/>
    <xf numFmtId="164" fontId="9" fillId="0" borderId="1" xfId="0" applyNumberFormat="1" applyFont="1" applyBorder="1"/>
    <xf numFmtId="164" fontId="8" fillId="0" borderId="33" xfId="0" applyNumberFormat="1" applyFont="1" applyBorder="1"/>
    <xf numFmtId="164" fontId="1" fillId="0" borderId="3" xfId="0" applyNumberFormat="1" applyFont="1" applyBorder="1" applyAlignment="1">
      <alignment horizontal="center"/>
    </xf>
    <xf numFmtId="164" fontId="13" fillId="0" borderId="33" xfId="0" applyNumberFormat="1" applyFont="1" applyBorder="1"/>
    <xf numFmtId="164" fontId="0" fillId="0" borderId="37" xfId="0" applyNumberFormat="1" applyBorder="1"/>
    <xf numFmtId="164" fontId="0" fillId="0" borderId="38" xfId="0" applyNumberFormat="1" applyBorder="1"/>
    <xf numFmtId="164" fontId="1" fillId="0" borderId="34" xfId="0" applyNumberFormat="1" applyFont="1" applyBorder="1"/>
    <xf numFmtId="164" fontId="1" fillId="4" borderId="34" xfId="0" applyNumberFormat="1" applyFont="1" applyFill="1" applyBorder="1"/>
    <xf numFmtId="164" fontId="0" fillId="0" borderId="2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6" xfId="0" applyNumberFormat="1" applyBorder="1"/>
    <xf numFmtId="164" fontId="1" fillId="0" borderId="2" xfId="0" applyNumberFormat="1" applyFont="1" applyBorder="1"/>
    <xf numFmtId="164" fontId="1" fillId="4" borderId="2" xfId="0" applyNumberFormat="1" applyFont="1" applyFill="1" applyBorder="1"/>
    <xf numFmtId="164" fontId="0" fillId="0" borderId="39" xfId="0" applyNumberFormat="1" applyBorder="1"/>
    <xf numFmtId="164" fontId="0" fillId="0" borderId="40" xfId="0" applyNumberFormat="1" applyBorder="1"/>
    <xf numFmtId="164" fontId="0" fillId="0" borderId="41" xfId="0" applyNumberFormat="1" applyBorder="1"/>
    <xf numFmtId="164" fontId="0" fillId="0" borderId="42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1" fillId="0" borderId="41" xfId="0" applyNumberFormat="1" applyFont="1" applyBorder="1"/>
    <xf numFmtId="164" fontId="1" fillId="4" borderId="41" xfId="0" applyNumberFormat="1" applyFont="1" applyFill="1" applyBorder="1"/>
    <xf numFmtId="0" fontId="1" fillId="0" borderId="34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1" fillId="0" borderId="29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V195"/>
  <sheetViews>
    <sheetView tabSelected="1" zoomScaleNormal="100" workbookViewId="0">
      <pane xSplit="3" ySplit="6" topLeftCell="D37" activePane="bottomRight" state="frozen"/>
      <selection pane="topRight" activeCell="C1" sqref="C1"/>
      <selection pane="bottomLeft" activeCell="A8" sqref="A8"/>
      <selection pane="bottomRight" activeCell="C64" sqref="C64"/>
    </sheetView>
  </sheetViews>
  <sheetFormatPr defaultRowHeight="15" x14ac:dyDescent="0.25"/>
  <cols>
    <col min="1" max="1" width="2.5703125" customWidth="1"/>
    <col min="2" max="2" width="2.42578125" customWidth="1"/>
    <col min="3" max="3" width="50.85546875" customWidth="1"/>
    <col min="4" max="4" width="13.7109375" hidden="1" customWidth="1"/>
    <col min="5" max="5" width="4.140625" hidden="1" customWidth="1"/>
    <col min="6" max="6" width="12.140625" hidden="1" customWidth="1"/>
    <col min="7" max="7" width="12.85546875" hidden="1" customWidth="1"/>
    <col min="8" max="8" width="15.85546875" hidden="1" customWidth="1"/>
    <col min="9" max="9" width="4" hidden="1" customWidth="1"/>
    <col min="10" max="10" width="14.28515625" hidden="1" customWidth="1"/>
    <col min="11" max="11" width="4.28515625" hidden="1" customWidth="1"/>
    <col min="12" max="12" width="15" hidden="1" customWidth="1"/>
    <col min="13" max="13" width="5.42578125" hidden="1" customWidth="1"/>
    <col min="14" max="14" width="15" hidden="1" customWidth="1"/>
    <col min="15" max="15" width="4" hidden="1" customWidth="1"/>
    <col min="16" max="16" width="14.28515625" hidden="1" customWidth="1"/>
    <col min="17" max="17" width="3.5703125" hidden="1" customWidth="1"/>
    <col min="18" max="18" width="14.140625" customWidth="1"/>
    <col min="19" max="19" width="3.85546875" customWidth="1"/>
    <col min="20" max="20" width="14" customWidth="1"/>
    <col min="21" max="21" width="3.28515625" customWidth="1"/>
    <col min="22" max="22" width="14.7109375" customWidth="1"/>
  </cols>
  <sheetData>
    <row r="1" spans="3:22" ht="8.25" customHeight="1" x14ac:dyDescent="0.4">
      <c r="D1" s="17"/>
    </row>
    <row r="2" spans="3:22" ht="23.25" x14ac:dyDescent="0.35">
      <c r="C2" s="109" t="s">
        <v>75</v>
      </c>
      <c r="D2" s="109"/>
      <c r="E2" s="109"/>
      <c r="F2" s="109"/>
      <c r="G2" s="109"/>
      <c r="H2" s="109"/>
      <c r="I2" s="109"/>
      <c r="J2" s="109"/>
      <c r="K2" s="109"/>
      <c r="L2" s="109"/>
    </row>
    <row r="3" spans="3:22" ht="18.75" x14ac:dyDescent="0.3">
      <c r="C3" s="143" t="s">
        <v>71</v>
      </c>
      <c r="D3" s="143"/>
      <c r="E3" s="143"/>
      <c r="F3" s="143"/>
      <c r="G3" s="143"/>
      <c r="H3" s="143"/>
      <c r="I3" s="143"/>
      <c r="J3" s="143"/>
    </row>
    <row r="4" spans="3:22" ht="15" customHeight="1" x14ac:dyDescent="0.25">
      <c r="C4" s="144" t="s">
        <v>19</v>
      </c>
      <c r="D4" s="144"/>
      <c r="E4" s="144"/>
      <c r="F4" s="144"/>
      <c r="G4" s="144"/>
      <c r="H4" s="144"/>
      <c r="I4" s="144"/>
      <c r="J4" s="144"/>
    </row>
    <row r="5" spans="3:22" ht="6" customHeight="1" thickBot="1" x14ac:dyDescent="0.3">
      <c r="D5" s="1"/>
    </row>
    <row r="6" spans="3:22" ht="15.75" thickBot="1" x14ac:dyDescent="0.3">
      <c r="C6" s="7" t="s">
        <v>0</v>
      </c>
      <c r="D6" s="6">
        <v>2020</v>
      </c>
      <c r="E6" s="4"/>
      <c r="F6" s="4">
        <v>2021</v>
      </c>
      <c r="G6" s="4"/>
      <c r="H6" s="4">
        <v>2022</v>
      </c>
      <c r="I6" s="4"/>
      <c r="J6" s="5">
        <v>2023</v>
      </c>
      <c r="K6" s="4"/>
      <c r="L6" s="5">
        <v>2024</v>
      </c>
      <c r="M6" s="4"/>
      <c r="N6" s="5">
        <v>2025</v>
      </c>
      <c r="O6" s="4"/>
      <c r="P6" s="5">
        <v>2026</v>
      </c>
      <c r="Q6" s="4"/>
      <c r="R6" s="5">
        <v>2027</v>
      </c>
      <c r="S6" s="4"/>
      <c r="T6" s="5">
        <v>2028</v>
      </c>
      <c r="U6" s="4"/>
      <c r="V6" s="5">
        <v>2029</v>
      </c>
    </row>
    <row r="7" spans="3:22" ht="15.75" thickBot="1" x14ac:dyDescent="0.3">
      <c r="C7" s="145"/>
      <c r="D7" s="146"/>
      <c r="E7" s="146"/>
      <c r="F7" s="146"/>
      <c r="G7" s="146"/>
      <c r="H7" s="146"/>
      <c r="I7" s="146"/>
      <c r="J7" s="146"/>
      <c r="K7" s="146"/>
      <c r="L7" s="146"/>
    </row>
    <row r="8" spans="3:22" ht="15.75" thickBot="1" x14ac:dyDescent="0.3">
      <c r="C8" s="7" t="s">
        <v>1</v>
      </c>
      <c r="D8" s="35"/>
      <c r="E8" s="27"/>
      <c r="F8" s="27"/>
      <c r="G8" s="45"/>
      <c r="H8" s="60"/>
      <c r="I8" s="61"/>
      <c r="J8" s="61"/>
      <c r="K8" s="61"/>
      <c r="L8" s="61"/>
      <c r="M8" s="61"/>
      <c r="N8" s="62"/>
      <c r="O8" s="61"/>
      <c r="P8" s="62"/>
      <c r="Q8" s="61"/>
      <c r="R8" s="62"/>
      <c r="S8" s="61"/>
      <c r="T8" s="62"/>
      <c r="U8" s="61"/>
      <c r="V8" s="62"/>
    </row>
    <row r="9" spans="3:22" x14ac:dyDescent="0.25">
      <c r="C9" s="20" t="s">
        <v>2</v>
      </c>
      <c r="D9" s="37">
        <f>3017+48+291+2179+311+5974+82+507</f>
        <v>12409</v>
      </c>
      <c r="E9" s="2"/>
      <c r="F9" s="2">
        <v>14468</v>
      </c>
      <c r="G9" s="46"/>
      <c r="H9" s="57">
        <v>16765</v>
      </c>
      <c r="I9" s="58"/>
      <c r="J9" s="58">
        <v>18744</v>
      </c>
      <c r="K9" s="58"/>
      <c r="L9" s="58">
        <v>19383</v>
      </c>
      <c r="M9" s="58"/>
      <c r="N9" s="59">
        <f>16979/10*12</f>
        <v>20374.800000000003</v>
      </c>
      <c r="O9" s="58"/>
      <c r="P9" s="59">
        <v>21846</v>
      </c>
      <c r="Q9" s="58"/>
      <c r="R9" s="59">
        <f>P9*1.02</f>
        <v>22282.920000000002</v>
      </c>
      <c r="S9" s="58"/>
      <c r="T9" s="59">
        <f>R9*1.01</f>
        <v>22505.749200000002</v>
      </c>
      <c r="U9" s="58"/>
      <c r="V9" s="59">
        <f>T9*1.01</f>
        <v>22730.806692000002</v>
      </c>
    </row>
    <row r="10" spans="3:22" x14ac:dyDescent="0.25">
      <c r="C10" s="9" t="s">
        <v>22</v>
      </c>
      <c r="D10" s="37">
        <f>453+589+31+12+3+629+859+34+94+4+12+172+3</f>
        <v>2895</v>
      </c>
      <c r="E10" s="2"/>
      <c r="F10" s="2">
        <v>1937</v>
      </c>
      <c r="G10" s="46"/>
      <c r="H10" s="48">
        <v>2074</v>
      </c>
      <c r="I10" s="2"/>
      <c r="J10" s="2">
        <v>3616</v>
      </c>
      <c r="K10" s="2"/>
      <c r="L10" s="2">
        <v>3127</v>
      </c>
      <c r="M10" s="2"/>
      <c r="N10" s="49">
        <v>2494</v>
      </c>
      <c r="O10" s="2"/>
      <c r="P10" s="49">
        <v>2461</v>
      </c>
      <c r="Q10" s="2"/>
      <c r="R10" s="49">
        <f>P10*1.02</f>
        <v>2510.2200000000003</v>
      </c>
      <c r="S10" s="2"/>
      <c r="T10" s="49">
        <f>R10*1.02</f>
        <v>2560.4244000000003</v>
      </c>
      <c r="U10" s="2"/>
      <c r="V10" s="49">
        <f>T10*1.02</f>
        <v>2611.6328880000005</v>
      </c>
    </row>
    <row r="11" spans="3:22" ht="15.75" thickBot="1" x14ac:dyDescent="0.3">
      <c r="C11" s="11" t="s">
        <v>73</v>
      </c>
      <c r="D11" s="37">
        <f>1300+225+379+19</f>
        <v>1923</v>
      </c>
      <c r="E11" s="2"/>
      <c r="F11" s="2">
        <v>6716</v>
      </c>
      <c r="G11" s="46"/>
      <c r="H11" s="50">
        <f>32787-25412</f>
        <v>7375</v>
      </c>
      <c r="I11" s="51"/>
      <c r="J11" s="51">
        <v>14685</v>
      </c>
      <c r="K11" s="51"/>
      <c r="L11" s="51">
        <v>572</v>
      </c>
      <c r="M11" s="51"/>
      <c r="N11" s="52">
        <v>7650</v>
      </c>
      <c r="O11" s="51"/>
      <c r="P11" s="52">
        <v>270</v>
      </c>
      <c r="Q11" s="51"/>
      <c r="R11" s="52">
        <v>300</v>
      </c>
      <c r="S11" s="51"/>
      <c r="T11" s="52">
        <v>300</v>
      </c>
      <c r="U11" s="51"/>
      <c r="V11" s="52">
        <v>300</v>
      </c>
    </row>
    <row r="12" spans="3:22" ht="15.75" thickBot="1" x14ac:dyDescent="0.3">
      <c r="C12" s="23" t="s">
        <v>11</v>
      </c>
      <c r="D12" s="36">
        <f>SUM(D8:D11)</f>
        <v>17227</v>
      </c>
      <c r="E12" s="29"/>
      <c r="F12" s="28">
        <f>SUM(F8:F11)</f>
        <v>23121</v>
      </c>
      <c r="G12" s="47"/>
      <c r="H12" s="53">
        <f>SUM(H9:H11)</f>
        <v>26214</v>
      </c>
      <c r="I12" s="54"/>
      <c r="J12" s="55">
        <f>SUM(J9:J11)</f>
        <v>37045</v>
      </c>
      <c r="K12" s="54"/>
      <c r="L12" s="55">
        <f>SUM(L9:L11)</f>
        <v>23082</v>
      </c>
      <c r="M12" s="54"/>
      <c r="N12" s="56">
        <f>SUM(N9:N11)</f>
        <v>30518.800000000003</v>
      </c>
      <c r="O12" s="54"/>
      <c r="P12" s="56">
        <f>SUM(P9:P11)</f>
        <v>24577</v>
      </c>
      <c r="Q12" s="54"/>
      <c r="R12" s="56">
        <f>SUM(R9:R11)</f>
        <v>25093.140000000003</v>
      </c>
      <c r="S12" s="54"/>
      <c r="T12" s="56">
        <f>SUM(T9:T11)</f>
        <v>25366.173600000002</v>
      </c>
      <c r="U12" s="54"/>
      <c r="V12" s="56">
        <f>SUM(V9:V11)</f>
        <v>25642.439580000002</v>
      </c>
    </row>
    <row r="13" spans="3:22" ht="15.75" thickBot="1" x14ac:dyDescent="0.3">
      <c r="C13" s="26"/>
    </row>
    <row r="14" spans="3:22" ht="15.75" thickBot="1" x14ac:dyDescent="0.3">
      <c r="C14" s="7" t="s">
        <v>3</v>
      </c>
      <c r="D14" s="35"/>
      <c r="E14" s="27"/>
      <c r="F14" s="27"/>
      <c r="G14" s="45"/>
      <c r="H14" s="60"/>
      <c r="I14" s="61"/>
      <c r="J14" s="61"/>
      <c r="K14" s="61"/>
      <c r="L14" s="61"/>
      <c r="M14" s="61"/>
      <c r="N14" s="62"/>
      <c r="O14" s="61"/>
      <c r="P14" s="62"/>
      <c r="Q14" s="61"/>
      <c r="R14" s="62"/>
      <c r="S14" s="61"/>
      <c r="T14" s="62"/>
      <c r="U14" s="61"/>
      <c r="V14" s="62"/>
    </row>
    <row r="15" spans="3:22" x14ac:dyDescent="0.25">
      <c r="C15" s="19" t="s">
        <v>4</v>
      </c>
      <c r="D15" s="38">
        <f>5+30+263+63+326+110</f>
        <v>797</v>
      </c>
      <c r="E15" s="2"/>
      <c r="F15" s="2">
        <f>30+410+75+14+110</f>
        <v>639</v>
      </c>
      <c r="G15" s="46"/>
      <c r="H15" s="64">
        <f>(30+164+33+9+169)</f>
        <v>405</v>
      </c>
      <c r="I15" s="65"/>
      <c r="J15" s="65">
        <f>(30+441+39+174)</f>
        <v>684</v>
      </c>
      <c r="K15" s="65"/>
      <c r="L15" s="65">
        <f>30+161+44+175</f>
        <v>410</v>
      </c>
      <c r="M15" s="65"/>
      <c r="N15" s="66">
        <f>(30+159+26+60+169)/10*12</f>
        <v>532.79999999999995</v>
      </c>
      <c r="O15" s="65"/>
      <c r="P15" s="66">
        <f>20+30+1035+74+71+172</f>
        <v>1402</v>
      </c>
      <c r="Q15" s="65"/>
      <c r="R15" s="66">
        <f t="shared" ref="R15:R24" si="0">P15*1.03</f>
        <v>1444.06</v>
      </c>
      <c r="S15" s="65"/>
      <c r="T15" s="66">
        <f t="shared" ref="T15:T24" si="1">R15*1.03</f>
        <v>1487.3817999999999</v>
      </c>
      <c r="U15" s="65"/>
      <c r="V15" s="66">
        <f t="shared" ref="V15:V24" si="2">T15*1.03</f>
        <v>1532.003254</v>
      </c>
    </row>
    <row r="16" spans="3:22" x14ac:dyDescent="0.25">
      <c r="C16" s="9" t="s">
        <v>5</v>
      </c>
      <c r="D16" s="38">
        <f>17+9</f>
        <v>26</v>
      </c>
      <c r="E16" s="2"/>
      <c r="F16" s="2">
        <f>14+113</f>
        <v>127</v>
      </c>
      <c r="G16" s="46"/>
      <c r="H16" s="48">
        <f>11</f>
        <v>11</v>
      </c>
      <c r="I16" s="2"/>
      <c r="J16" s="2">
        <f>(7+294+603)</f>
        <v>904</v>
      </c>
      <c r="K16" s="2"/>
      <c r="L16" s="2">
        <f>7+5</f>
        <v>12</v>
      </c>
      <c r="M16" s="2"/>
      <c r="N16" s="49">
        <f>(8+384)/10*12</f>
        <v>470.40000000000003</v>
      </c>
      <c r="O16" s="2"/>
      <c r="P16" s="49">
        <f>378+840-90</f>
        <v>1128</v>
      </c>
      <c r="Q16" s="2"/>
      <c r="R16" s="49">
        <f t="shared" si="0"/>
        <v>1161.8399999999999</v>
      </c>
      <c r="S16" s="2"/>
      <c r="T16" s="49">
        <f t="shared" si="1"/>
        <v>1196.6951999999999</v>
      </c>
      <c r="U16" s="2"/>
      <c r="V16" s="49">
        <f t="shared" si="2"/>
        <v>1232.5960559999999</v>
      </c>
    </row>
    <row r="17" spans="3:22" x14ac:dyDescent="0.25">
      <c r="C17" s="9" t="s">
        <v>6</v>
      </c>
      <c r="D17" s="38">
        <v>701</v>
      </c>
      <c r="E17" s="2"/>
      <c r="F17" s="2">
        <f>978</f>
        <v>978</v>
      </c>
      <c r="G17" s="46"/>
      <c r="H17" s="48">
        <f>928-190</f>
        <v>738</v>
      </c>
      <c r="I17" s="2"/>
      <c r="J17" s="2">
        <f>(1270)-420</f>
        <v>850</v>
      </c>
      <c r="K17" s="2"/>
      <c r="L17" s="2">
        <f>4436-3563</f>
        <v>873</v>
      </c>
      <c r="M17" s="2"/>
      <c r="N17" s="49">
        <f>(15813-15013)/10*12</f>
        <v>960</v>
      </c>
      <c r="O17" s="2"/>
      <c r="P17" s="49">
        <v>1480</v>
      </c>
      <c r="Q17" s="2"/>
      <c r="R17" s="49">
        <f t="shared" si="0"/>
        <v>1524.4</v>
      </c>
      <c r="S17" s="2"/>
      <c r="T17" s="49">
        <f t="shared" si="1"/>
        <v>1570.1320000000001</v>
      </c>
      <c r="U17" s="2"/>
      <c r="V17" s="49">
        <f t="shared" si="2"/>
        <v>1617.2359600000002</v>
      </c>
    </row>
    <row r="18" spans="3:22" x14ac:dyDescent="0.25">
      <c r="C18" s="9" t="s">
        <v>7</v>
      </c>
      <c r="D18" s="38">
        <f>52+5+10+46+242</f>
        <v>355</v>
      </c>
      <c r="E18" s="2"/>
      <c r="F18" s="2">
        <f>22+5+11+40+211</f>
        <v>289</v>
      </c>
      <c r="G18" s="46"/>
      <c r="H18" s="48">
        <f>(55+5+23+49+378)-89</f>
        <v>421</v>
      </c>
      <c r="I18" s="2"/>
      <c r="J18" s="2">
        <f>(62+10+339+57+497)-315-90</f>
        <v>560</v>
      </c>
      <c r="K18" s="2"/>
      <c r="L18" s="2">
        <f>65+10+1531+73+580-1482-109</f>
        <v>668</v>
      </c>
      <c r="M18" s="2"/>
      <c r="N18" s="49">
        <f>(44+704+689+54+1227-643-689-324)/10*12</f>
        <v>1274.4000000000001</v>
      </c>
      <c r="O18" s="2"/>
      <c r="P18" s="49">
        <f>98+10+572+20+60+720-50-50</f>
        <v>1380</v>
      </c>
      <c r="Q18" s="2"/>
      <c r="R18" s="49">
        <f t="shared" si="0"/>
        <v>1421.4</v>
      </c>
      <c r="S18" s="2"/>
      <c r="T18" s="49">
        <f t="shared" si="1"/>
        <v>1464.0420000000001</v>
      </c>
      <c r="U18" s="2"/>
      <c r="V18" s="49">
        <f t="shared" si="2"/>
        <v>1507.9632600000002</v>
      </c>
    </row>
    <row r="19" spans="3:22" x14ac:dyDescent="0.25">
      <c r="C19" s="9" t="s">
        <v>29</v>
      </c>
      <c r="D19" s="38">
        <f>1364+17+1987+50-1954</f>
        <v>1464</v>
      </c>
      <c r="E19" s="2"/>
      <c r="F19" s="2">
        <f>665+15+16430-16836</f>
        <v>274</v>
      </c>
      <c r="G19" s="46"/>
      <c r="H19" s="67">
        <f>861+15-65</f>
        <v>811</v>
      </c>
      <c r="I19" s="2"/>
      <c r="J19" s="110">
        <f>(1121+52)</f>
        <v>1173</v>
      </c>
      <c r="K19" s="44"/>
      <c r="L19" s="2">
        <f>994+30</f>
        <v>1024</v>
      </c>
      <c r="M19" s="2"/>
      <c r="N19" s="49">
        <f>(1402+30)/10*12</f>
        <v>1718.3999999999999</v>
      </c>
      <c r="O19" s="2"/>
      <c r="P19" s="49">
        <f>1695+62-150</f>
        <v>1607</v>
      </c>
      <c r="Q19" s="2"/>
      <c r="R19" s="49">
        <f t="shared" si="0"/>
        <v>1655.21</v>
      </c>
      <c r="S19" s="2"/>
      <c r="T19" s="49">
        <f t="shared" si="1"/>
        <v>1704.8663000000001</v>
      </c>
      <c r="U19" s="2"/>
      <c r="V19" s="49">
        <f t="shared" si="2"/>
        <v>1756.0122890000002</v>
      </c>
    </row>
    <row r="20" spans="3:22" x14ac:dyDescent="0.25">
      <c r="C20" s="9" t="s">
        <v>72</v>
      </c>
      <c r="D20" s="38">
        <f>203+5+118+438</f>
        <v>764</v>
      </c>
      <c r="E20" s="2"/>
      <c r="F20" s="2">
        <f>232+45+220+207</f>
        <v>704</v>
      </c>
      <c r="G20" s="46"/>
      <c r="H20" s="48">
        <f>(4677+299+9+2484)-2768-100-2302</f>
        <v>2299</v>
      </c>
      <c r="I20" s="2"/>
      <c r="J20" s="2">
        <f>(1255+627+203+108+13311)-122-628-182-204-13006-115-3</f>
        <v>1244</v>
      </c>
      <c r="K20" s="2"/>
      <c r="L20" s="2">
        <f>851+426+253+95+1518-351-253-494-115-725</f>
        <v>1205</v>
      </c>
      <c r="M20" s="2"/>
      <c r="N20" s="49">
        <f>(512+334+6170-4858)/10*12</f>
        <v>2589.6000000000004</v>
      </c>
      <c r="O20" s="2"/>
      <c r="P20" s="49">
        <f>715+590+410+150+802-400-500</f>
        <v>1767</v>
      </c>
      <c r="Q20" s="2"/>
      <c r="R20" s="49">
        <f t="shared" si="0"/>
        <v>1820.01</v>
      </c>
      <c r="S20" s="2"/>
      <c r="T20" s="49">
        <f t="shared" si="1"/>
        <v>1874.6103000000001</v>
      </c>
      <c r="U20" s="2"/>
      <c r="V20" s="49">
        <f t="shared" si="2"/>
        <v>1930.8486090000001</v>
      </c>
    </row>
    <row r="21" spans="3:22" x14ac:dyDescent="0.25">
      <c r="C21" s="9" t="s">
        <v>8</v>
      </c>
      <c r="D21" s="38">
        <f>12+737+203</f>
        <v>952</v>
      </c>
      <c r="E21" s="2"/>
      <c r="F21" s="2">
        <f>18+803+89</f>
        <v>910</v>
      </c>
      <c r="G21" s="46"/>
      <c r="H21" s="48">
        <f>20+1132+71</f>
        <v>1223</v>
      </c>
      <c r="I21" s="2"/>
      <c r="J21" s="2">
        <f>(10+1094+68)</f>
        <v>1172</v>
      </c>
      <c r="K21" s="2"/>
      <c r="L21" s="2">
        <f>24+1201+99</f>
        <v>1324</v>
      </c>
      <c r="M21" s="2"/>
      <c r="N21" s="49">
        <f>(14+2242+100-878)/10*12</f>
        <v>1773.6000000000001</v>
      </c>
      <c r="O21" s="2"/>
      <c r="P21" s="49">
        <f>20+1707+150-200</f>
        <v>1677</v>
      </c>
      <c r="Q21" s="2"/>
      <c r="R21" s="49">
        <f t="shared" si="0"/>
        <v>1727.31</v>
      </c>
      <c r="S21" s="2"/>
      <c r="T21" s="49">
        <f t="shared" si="1"/>
        <v>1779.1293000000001</v>
      </c>
      <c r="U21" s="2"/>
      <c r="V21" s="49">
        <f t="shared" si="2"/>
        <v>1832.503179</v>
      </c>
    </row>
    <row r="22" spans="3:22" x14ac:dyDescent="0.25">
      <c r="C22" s="9" t="s">
        <v>21</v>
      </c>
      <c r="D22" s="38">
        <f>865</f>
        <v>865</v>
      </c>
      <c r="E22" s="2"/>
      <c r="F22" s="2">
        <f>1274</f>
        <v>1274</v>
      </c>
      <c r="G22" s="46"/>
      <c r="H22" s="48">
        <f>1096</f>
        <v>1096</v>
      </c>
      <c r="I22" s="2"/>
      <c r="J22" s="2">
        <v>1184</v>
      </c>
      <c r="K22" s="2"/>
      <c r="L22" s="2">
        <f>1354-82</f>
        <v>1272</v>
      </c>
      <c r="M22" s="2"/>
      <c r="N22" s="49">
        <f>1186/10*12</f>
        <v>1423.1999999999998</v>
      </c>
      <c r="O22" s="2"/>
      <c r="P22" s="49">
        <f>1511-150</f>
        <v>1361</v>
      </c>
      <c r="Q22" s="2"/>
      <c r="R22" s="49">
        <f t="shared" si="0"/>
        <v>1401.83</v>
      </c>
      <c r="S22" s="2"/>
      <c r="T22" s="49">
        <f t="shared" si="1"/>
        <v>1443.8849</v>
      </c>
      <c r="U22" s="2"/>
      <c r="V22" s="49">
        <f t="shared" si="2"/>
        <v>1487.2014470000001</v>
      </c>
    </row>
    <row r="23" spans="3:22" x14ac:dyDescent="0.25">
      <c r="C23" s="9" t="s">
        <v>10</v>
      </c>
      <c r="D23" s="38">
        <v>105</v>
      </c>
      <c r="E23" s="2"/>
      <c r="F23" s="2">
        <f>107+13</f>
        <v>120</v>
      </c>
      <c r="G23" s="46"/>
      <c r="H23" s="48">
        <v>19</v>
      </c>
      <c r="I23" s="2"/>
      <c r="J23" s="2">
        <v>0</v>
      </c>
      <c r="K23" s="2"/>
      <c r="L23" s="2">
        <v>0</v>
      </c>
      <c r="M23" s="2"/>
      <c r="N23" s="49">
        <v>0</v>
      </c>
      <c r="O23" s="2"/>
      <c r="P23" s="49">
        <f>10+20+100</f>
        <v>130</v>
      </c>
      <c r="Q23" s="2"/>
      <c r="R23" s="49">
        <f t="shared" si="0"/>
        <v>133.9</v>
      </c>
      <c r="S23" s="2"/>
      <c r="T23" s="49">
        <f t="shared" si="1"/>
        <v>137.917</v>
      </c>
      <c r="U23" s="2"/>
      <c r="V23" s="49">
        <f t="shared" si="2"/>
        <v>142.05450999999999</v>
      </c>
    </row>
    <row r="24" spans="3:22" x14ac:dyDescent="0.25">
      <c r="C24" s="9" t="s">
        <v>9</v>
      </c>
      <c r="D24" s="38">
        <v>60</v>
      </c>
      <c r="E24" s="2"/>
      <c r="F24" s="2">
        <v>61</v>
      </c>
      <c r="G24" s="46"/>
      <c r="H24" s="48">
        <v>61</v>
      </c>
      <c r="I24" s="2"/>
      <c r="J24" s="2">
        <v>61</v>
      </c>
      <c r="K24" s="2"/>
      <c r="L24" s="2">
        <v>61</v>
      </c>
      <c r="M24" s="2"/>
      <c r="N24" s="49">
        <v>63</v>
      </c>
      <c r="O24" s="2"/>
      <c r="P24" s="49">
        <f>60+8</f>
        <v>68</v>
      </c>
      <c r="Q24" s="2"/>
      <c r="R24" s="49">
        <f t="shared" si="0"/>
        <v>70.040000000000006</v>
      </c>
      <c r="S24" s="2"/>
      <c r="T24" s="49">
        <f t="shared" si="1"/>
        <v>72.141200000000012</v>
      </c>
      <c r="U24" s="2"/>
      <c r="V24" s="49">
        <f t="shared" si="2"/>
        <v>74.305436000000014</v>
      </c>
    </row>
    <row r="25" spans="3:22" x14ac:dyDescent="0.25">
      <c r="C25" s="9" t="s">
        <v>28</v>
      </c>
      <c r="D25" s="38">
        <f>1187+40+1855</f>
        <v>3082</v>
      </c>
      <c r="E25" s="2"/>
      <c r="F25" s="2">
        <f>1154+21+1712</f>
        <v>2887</v>
      </c>
      <c r="G25" s="46"/>
      <c r="H25" s="48">
        <f>1172+33+1897</f>
        <v>3102</v>
      </c>
      <c r="I25" s="2"/>
      <c r="J25" s="2">
        <f>(1338+28+2113)</f>
        <v>3479</v>
      </c>
      <c r="K25" s="2"/>
      <c r="L25" s="2">
        <f>1481+23+21+2109</f>
        <v>3634</v>
      </c>
      <c r="M25" s="2"/>
      <c r="N25" s="49">
        <f>(1260+8+2022-90)/10*12</f>
        <v>3840</v>
      </c>
      <c r="O25" s="2"/>
      <c r="P25" s="49">
        <f>1567+33+2543</f>
        <v>4143</v>
      </c>
      <c r="Q25" s="2"/>
      <c r="R25" s="49">
        <f>P25*1.05</f>
        <v>4350.1500000000005</v>
      </c>
      <c r="S25" s="2"/>
      <c r="T25" s="49">
        <f>R25*1.05</f>
        <v>4567.6575000000012</v>
      </c>
      <c r="U25" s="2"/>
      <c r="V25" s="49">
        <f>T25*1.05</f>
        <v>4796.0403750000014</v>
      </c>
    </row>
    <row r="26" spans="3:22" ht="15.75" thickBot="1" x14ac:dyDescent="0.3">
      <c r="C26" s="9" t="s">
        <v>32</v>
      </c>
      <c r="D26" s="38">
        <f>14+47+540+8</f>
        <v>609</v>
      </c>
      <c r="E26" s="2"/>
      <c r="F26" s="2">
        <f>16+47+243+545+7-1</f>
        <v>857</v>
      </c>
      <c r="G26" s="46"/>
      <c r="H26" s="50">
        <f>21+18+56+25412+575+10+1-25412</f>
        <v>681</v>
      </c>
      <c r="I26" s="51"/>
      <c r="J26" s="51">
        <f>17+58+14400+595+25</f>
        <v>15095</v>
      </c>
      <c r="K26" s="51"/>
      <c r="L26" s="51">
        <f>21+59+270+962+10</f>
        <v>1322</v>
      </c>
      <c r="M26" s="51"/>
      <c r="N26" s="52">
        <f>(17+60+7310+1202+20)/10*12</f>
        <v>10330.799999999999</v>
      </c>
      <c r="O26" s="51"/>
      <c r="P26" s="52">
        <f>27+100+800+9</f>
        <v>936</v>
      </c>
      <c r="Q26" s="51"/>
      <c r="R26" s="52">
        <f>P26</f>
        <v>936</v>
      </c>
      <c r="S26" s="51"/>
      <c r="T26" s="52">
        <f>R26</f>
        <v>936</v>
      </c>
      <c r="U26" s="51"/>
      <c r="V26" s="52">
        <f>T26</f>
        <v>936</v>
      </c>
    </row>
    <row r="27" spans="3:22" ht="15.75" thickBot="1" x14ac:dyDescent="0.3">
      <c r="C27" s="23" t="s">
        <v>12</v>
      </c>
      <c r="D27" s="36">
        <f>SUM(D15:D26)</f>
        <v>9780</v>
      </c>
      <c r="E27" s="28"/>
      <c r="F27" s="28">
        <f>SUM(F15:F26)</f>
        <v>9120</v>
      </c>
      <c r="G27" s="63"/>
      <c r="H27" s="53">
        <f>SUM(H15:H26)</f>
        <v>10867</v>
      </c>
      <c r="I27" s="55"/>
      <c r="J27" s="55">
        <f>SUM(J15:J26)</f>
        <v>26406</v>
      </c>
      <c r="K27" s="55"/>
      <c r="L27" s="55">
        <f>SUM(L15:L26)</f>
        <v>11805</v>
      </c>
      <c r="M27" s="55"/>
      <c r="N27" s="56">
        <f>SUM(N15:N26)</f>
        <v>24976.2</v>
      </c>
      <c r="O27" s="55"/>
      <c r="P27" s="56">
        <f>SUM(P15:P26)</f>
        <v>17079</v>
      </c>
      <c r="Q27" s="55"/>
      <c r="R27" s="56">
        <f>SUM(R15:R26)</f>
        <v>17646.149999999998</v>
      </c>
      <c r="S27" s="55"/>
      <c r="T27" s="56">
        <f>SUM(T15:T26)</f>
        <v>18234.4575</v>
      </c>
      <c r="U27" s="55"/>
      <c r="V27" s="56">
        <f>SUM(V15:V26)</f>
        <v>18844.764375000002</v>
      </c>
    </row>
    <row r="28" spans="3:22" ht="15.75" thickBot="1" x14ac:dyDescent="0.3">
      <c r="C28" s="30"/>
      <c r="D28" s="2"/>
      <c r="E28" s="2"/>
      <c r="F28" s="2"/>
      <c r="G28" s="2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</row>
    <row r="29" spans="3:22" ht="15.75" thickBot="1" x14ac:dyDescent="0.3">
      <c r="C29" s="7" t="s">
        <v>13</v>
      </c>
      <c r="D29" s="39">
        <f>D12-D27</f>
        <v>7447</v>
      </c>
      <c r="E29" s="31"/>
      <c r="F29" s="31">
        <f>F12-F27</f>
        <v>14001</v>
      </c>
      <c r="G29" s="68"/>
      <c r="H29" s="70">
        <f>H12-H27</f>
        <v>15347</v>
      </c>
      <c r="I29" s="71"/>
      <c r="J29" s="71">
        <f>J12-J27</f>
        <v>10639</v>
      </c>
      <c r="K29" s="71"/>
      <c r="L29" s="71">
        <f>L12-L27</f>
        <v>11277</v>
      </c>
      <c r="M29" s="71"/>
      <c r="N29" s="72">
        <f>N12-N27</f>
        <v>5542.6000000000022</v>
      </c>
      <c r="O29" s="71"/>
      <c r="P29" s="72">
        <f>P12-P27</f>
        <v>7498</v>
      </c>
      <c r="Q29" s="71"/>
      <c r="R29" s="72">
        <f>R12-R27</f>
        <v>7446.9900000000052</v>
      </c>
      <c r="S29" s="71"/>
      <c r="T29" s="72">
        <f>T12-T27</f>
        <v>7131.7161000000015</v>
      </c>
      <c r="U29" s="71"/>
      <c r="V29" s="72">
        <f>V12-V27</f>
        <v>6797.6752049999996</v>
      </c>
    </row>
    <row r="30" spans="3:22" ht="15.75" thickBot="1" x14ac:dyDescent="0.3">
      <c r="C30" s="21"/>
      <c r="D30" s="38"/>
      <c r="E30" s="2"/>
      <c r="F30" s="2"/>
      <c r="G30" s="2"/>
      <c r="H30" s="69">
        <f>H29-H34</f>
        <v>10278</v>
      </c>
      <c r="I30" s="69"/>
      <c r="J30" s="111">
        <f>J29-J34</f>
        <v>-4446</v>
      </c>
      <c r="K30" s="69"/>
      <c r="L30" s="113">
        <f>L29-L34</f>
        <v>4103</v>
      </c>
      <c r="M30" s="69"/>
      <c r="N30" s="113">
        <f>N29-N34</f>
        <v>-16952.399999999998</v>
      </c>
      <c r="O30" s="69"/>
      <c r="P30" s="113">
        <f>P29-P34</f>
        <v>5908</v>
      </c>
      <c r="Q30" s="69"/>
      <c r="R30" s="69"/>
      <c r="S30" s="69"/>
      <c r="T30" s="69"/>
      <c r="U30" s="69"/>
      <c r="V30" s="69"/>
    </row>
    <row r="31" spans="3:22" ht="15.75" thickBot="1" x14ac:dyDescent="0.3">
      <c r="C31" s="41" t="s">
        <v>14</v>
      </c>
      <c r="D31" s="40">
        <v>2020</v>
      </c>
      <c r="E31" s="33"/>
      <c r="F31" s="32">
        <v>2021</v>
      </c>
      <c r="G31" s="73"/>
      <c r="H31" s="74">
        <v>2022</v>
      </c>
      <c r="I31" s="75"/>
      <c r="J31" s="75">
        <v>2023</v>
      </c>
      <c r="K31" s="75"/>
      <c r="L31" s="75">
        <f>L6</f>
        <v>2024</v>
      </c>
      <c r="M31" s="75"/>
      <c r="N31" s="75">
        <f>N6</f>
        <v>2025</v>
      </c>
      <c r="O31" s="75"/>
      <c r="P31" s="75">
        <f>P6</f>
        <v>2026</v>
      </c>
      <c r="Q31" s="75"/>
      <c r="R31" s="75">
        <f>R6</f>
        <v>2027</v>
      </c>
      <c r="S31" s="75"/>
      <c r="T31" s="75">
        <f>T6</f>
        <v>2028</v>
      </c>
      <c r="U31" s="75"/>
      <c r="V31" s="75">
        <f>V6</f>
        <v>2029</v>
      </c>
    </row>
    <row r="32" spans="3:22" ht="15.75" thickBot="1" x14ac:dyDescent="0.3">
      <c r="C32" s="8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3:22" ht="15.75" thickBot="1" x14ac:dyDescent="0.3">
      <c r="C33" s="10" t="s">
        <v>23</v>
      </c>
      <c r="D33" s="38"/>
      <c r="E33" s="2"/>
      <c r="F33" s="2"/>
      <c r="G33" s="46"/>
      <c r="H33" s="76"/>
      <c r="I33" s="98"/>
      <c r="J33" s="76"/>
      <c r="K33" s="77"/>
      <c r="L33" s="77"/>
      <c r="M33" s="98"/>
      <c r="N33" s="118"/>
      <c r="O33" s="76"/>
      <c r="P33" s="78"/>
      <c r="Q33" s="76"/>
      <c r="R33" s="78"/>
      <c r="S33" s="76"/>
      <c r="T33" s="78"/>
      <c r="U33" s="127"/>
      <c r="V33" s="118"/>
    </row>
    <row r="34" spans="3:22" x14ac:dyDescent="0.25">
      <c r="C34" s="19" t="s">
        <v>24</v>
      </c>
      <c r="D34" s="38">
        <v>1954</v>
      </c>
      <c r="E34" s="2"/>
      <c r="F34" s="2">
        <f>16835</f>
        <v>16835</v>
      </c>
      <c r="G34" s="46"/>
      <c r="H34" s="57">
        <f>190+89+65+2768+100+2302-445</f>
        <v>5069</v>
      </c>
      <c r="I34" s="99"/>
      <c r="J34" s="64">
        <f>420+315+90+122+628+182+204+13006+115+3</f>
        <v>15085</v>
      </c>
      <c r="K34" s="65"/>
      <c r="L34" s="65">
        <f>3563+1482+109+351+253+494+115+725+82</f>
        <v>7174</v>
      </c>
      <c r="M34" s="114"/>
      <c r="N34" s="119">
        <f>15013+643+689+324+4858+878+90</f>
        <v>22495</v>
      </c>
      <c r="O34" s="64"/>
      <c r="P34" s="66">
        <f>90+50+50+150+400+500+200+150</f>
        <v>1590</v>
      </c>
      <c r="Q34" s="64"/>
      <c r="R34" s="66">
        <f>R48+R47</f>
        <v>3300</v>
      </c>
      <c r="S34" s="64"/>
      <c r="T34" s="66">
        <f>T48+T47</f>
        <v>0</v>
      </c>
      <c r="U34" s="128"/>
      <c r="V34" s="119">
        <f>V48+V47</f>
        <v>0</v>
      </c>
    </row>
    <row r="35" spans="3:22" x14ac:dyDescent="0.25">
      <c r="C35" s="9" t="s">
        <v>26</v>
      </c>
      <c r="D35" s="38">
        <v>0</v>
      </c>
      <c r="E35" s="2"/>
      <c r="F35" s="2">
        <v>0</v>
      </c>
      <c r="G35" s="46"/>
      <c r="H35" s="48">
        <f>6079</f>
        <v>6079</v>
      </c>
      <c r="I35" s="46"/>
      <c r="J35" s="48">
        <v>-1500</v>
      </c>
      <c r="K35" s="2"/>
      <c r="L35" s="2">
        <v>-1500</v>
      </c>
      <c r="M35" s="46"/>
      <c r="N35" s="120">
        <v>-1500</v>
      </c>
      <c r="O35" s="48"/>
      <c r="P35" s="49">
        <v>-1500</v>
      </c>
      <c r="Q35" s="48"/>
      <c r="R35" s="49">
        <v>-79</v>
      </c>
      <c r="S35" s="48"/>
      <c r="T35" s="49">
        <v>0</v>
      </c>
      <c r="U35" s="129"/>
      <c r="V35" s="120">
        <v>0</v>
      </c>
    </row>
    <row r="36" spans="3:22" ht="15.75" thickBot="1" x14ac:dyDescent="0.3">
      <c r="C36" s="11" t="s">
        <v>15</v>
      </c>
      <c r="D36" s="38">
        <f>D34-D35</f>
        <v>1954</v>
      </c>
      <c r="E36" s="2"/>
      <c r="F36" s="2">
        <f>F34-F35</f>
        <v>16835</v>
      </c>
      <c r="G36" s="46"/>
      <c r="H36" s="79">
        <f>H34-H35</f>
        <v>-1010</v>
      </c>
      <c r="I36" s="100"/>
      <c r="J36" s="79">
        <f>J34-J35</f>
        <v>16585</v>
      </c>
      <c r="K36" s="80"/>
      <c r="L36" s="80">
        <f>L34-L35</f>
        <v>8674</v>
      </c>
      <c r="M36" s="100"/>
      <c r="N36" s="121">
        <f>N34-N35</f>
        <v>23995</v>
      </c>
      <c r="O36" s="79"/>
      <c r="P36" s="81">
        <f>P34-P35</f>
        <v>3090</v>
      </c>
      <c r="Q36" s="79"/>
      <c r="R36" s="81">
        <f>R34-R35</f>
        <v>3379</v>
      </c>
      <c r="S36" s="79"/>
      <c r="T36" s="81">
        <f>T34-T35</f>
        <v>0</v>
      </c>
      <c r="U36" s="130"/>
      <c r="V36" s="121">
        <f>V34-V35</f>
        <v>0</v>
      </c>
    </row>
    <row r="37" spans="3:22" ht="15.75" thickBot="1" x14ac:dyDescent="0.3">
      <c r="C37" s="22"/>
      <c r="D37" s="2"/>
      <c r="E37" s="2"/>
      <c r="F37" s="2"/>
      <c r="G37" s="2"/>
      <c r="H37" s="69"/>
      <c r="I37" s="69"/>
      <c r="J37" s="69"/>
      <c r="K37" s="69"/>
      <c r="L37" s="69"/>
      <c r="M37" s="115"/>
      <c r="N37" s="122"/>
      <c r="O37" s="125"/>
      <c r="P37" s="126"/>
      <c r="Q37" s="125"/>
      <c r="R37" s="126"/>
      <c r="S37" s="125"/>
      <c r="T37" s="126"/>
      <c r="U37" s="3"/>
      <c r="V37" s="122"/>
    </row>
    <row r="38" spans="3:22" ht="15.75" thickBot="1" x14ac:dyDescent="0.3">
      <c r="C38" s="10" t="s">
        <v>16</v>
      </c>
      <c r="D38" s="35">
        <f>D36</f>
        <v>1954</v>
      </c>
      <c r="E38" s="27"/>
      <c r="F38" s="27">
        <f>F36</f>
        <v>16835</v>
      </c>
      <c r="G38" s="45"/>
      <c r="H38" s="60">
        <f>H36</f>
        <v>-1010</v>
      </c>
      <c r="I38" s="61"/>
      <c r="J38" s="61">
        <f>J36</f>
        <v>16585</v>
      </c>
      <c r="K38" s="61"/>
      <c r="L38" s="61">
        <f>L36</f>
        <v>8674</v>
      </c>
      <c r="M38" s="116"/>
      <c r="N38" s="123">
        <f>N36</f>
        <v>23995</v>
      </c>
      <c r="O38" s="60"/>
      <c r="P38" s="62">
        <f>P36</f>
        <v>3090</v>
      </c>
      <c r="Q38" s="60"/>
      <c r="R38" s="62">
        <f>R36</f>
        <v>3379</v>
      </c>
      <c r="S38" s="60"/>
      <c r="T38" s="62">
        <f>T36</f>
        <v>0</v>
      </c>
      <c r="U38" s="131"/>
      <c r="V38" s="123">
        <f>V36</f>
        <v>0</v>
      </c>
    </row>
    <row r="39" spans="3:22" ht="15.75" thickBot="1" x14ac:dyDescent="0.3">
      <c r="C39" s="22"/>
      <c r="D39" s="2"/>
      <c r="E39" s="2"/>
      <c r="F39" s="2"/>
      <c r="G39" s="2"/>
      <c r="H39" s="69"/>
      <c r="I39" s="69"/>
      <c r="J39" s="69"/>
      <c r="K39" s="69"/>
      <c r="L39" s="69"/>
      <c r="M39" s="115"/>
      <c r="N39" s="122"/>
      <c r="O39" s="125"/>
      <c r="P39" s="126"/>
      <c r="Q39" s="125"/>
      <c r="R39" s="126"/>
      <c r="S39" s="125"/>
      <c r="T39" s="126"/>
      <c r="U39" s="3"/>
      <c r="V39" s="122"/>
    </row>
    <row r="40" spans="3:22" ht="15.75" thickBot="1" x14ac:dyDescent="0.3">
      <c r="C40" s="12" t="s">
        <v>17</v>
      </c>
      <c r="D40" s="35">
        <f>27531-5</f>
        <v>27526</v>
      </c>
      <c r="E40" s="27"/>
      <c r="F40" s="27">
        <f>D44</f>
        <v>33019</v>
      </c>
      <c r="G40" s="45"/>
      <c r="H40" s="60">
        <f>F44</f>
        <v>30185</v>
      </c>
      <c r="I40" s="61"/>
      <c r="J40" s="61">
        <f>H44</f>
        <v>46542</v>
      </c>
      <c r="K40" s="61"/>
      <c r="L40" s="61">
        <f>J44+455</f>
        <v>41051</v>
      </c>
      <c r="M40" s="116"/>
      <c r="N40" s="123">
        <f>L44</f>
        <v>43654</v>
      </c>
      <c r="O40" s="60"/>
      <c r="P40" s="62">
        <f>N44</f>
        <v>25201.600000000002</v>
      </c>
      <c r="Q40" s="60"/>
      <c r="R40" s="62">
        <f>P44</f>
        <v>29609.600000000002</v>
      </c>
      <c r="S40" s="60"/>
      <c r="T40" s="62">
        <f>R44</f>
        <v>33677.590000000011</v>
      </c>
      <c r="U40" s="131"/>
      <c r="V40" s="123">
        <f>T44</f>
        <v>40809.306100000016</v>
      </c>
    </row>
    <row r="41" spans="3:22" ht="15.75" thickBot="1" x14ac:dyDescent="0.3">
      <c r="C41" s="22"/>
      <c r="D41" s="2"/>
      <c r="E41" s="2"/>
      <c r="F41" s="2"/>
      <c r="G41" s="2"/>
      <c r="H41" s="69"/>
      <c r="I41" s="69"/>
      <c r="J41" s="69"/>
      <c r="K41" s="69"/>
      <c r="L41" s="69"/>
      <c r="M41" s="115"/>
      <c r="N41" s="122"/>
      <c r="O41" s="125"/>
      <c r="P41" s="126"/>
      <c r="Q41" s="125"/>
      <c r="R41" s="126"/>
      <c r="S41" s="125"/>
      <c r="T41" s="126"/>
      <c r="U41" s="3"/>
      <c r="V41" s="122"/>
    </row>
    <row r="42" spans="3:22" ht="15.75" thickBot="1" x14ac:dyDescent="0.3">
      <c r="C42" s="12" t="s">
        <v>20</v>
      </c>
      <c r="D42" s="35">
        <f>D29-D38</f>
        <v>5493</v>
      </c>
      <c r="E42" s="27"/>
      <c r="F42" s="27">
        <f>F29-F38</f>
        <v>-2834</v>
      </c>
      <c r="G42" s="45"/>
      <c r="H42" s="60">
        <f>H29-H38</f>
        <v>16357</v>
      </c>
      <c r="I42" s="61"/>
      <c r="J42" s="61">
        <f>J29-J38</f>
        <v>-5946</v>
      </c>
      <c r="K42" s="61"/>
      <c r="L42" s="61">
        <f>L29-L38</f>
        <v>2603</v>
      </c>
      <c r="M42" s="116"/>
      <c r="N42" s="123">
        <f>N29-N38</f>
        <v>-18452.399999999998</v>
      </c>
      <c r="O42" s="60"/>
      <c r="P42" s="62">
        <f>P29-P38</f>
        <v>4408</v>
      </c>
      <c r="Q42" s="60"/>
      <c r="R42" s="62">
        <f>R29-R38</f>
        <v>4067.9900000000052</v>
      </c>
      <c r="S42" s="60"/>
      <c r="T42" s="62">
        <f>T29-T38</f>
        <v>7131.7161000000015</v>
      </c>
      <c r="U42" s="131"/>
      <c r="V42" s="123">
        <f>V29-V38</f>
        <v>6797.6752049999996</v>
      </c>
    </row>
    <row r="43" spans="3:22" ht="15.75" thickBot="1" x14ac:dyDescent="0.3">
      <c r="C43" s="22"/>
      <c r="D43" s="2"/>
      <c r="E43" s="2"/>
      <c r="F43" s="2"/>
      <c r="G43" s="2"/>
      <c r="H43" s="69"/>
      <c r="I43" s="69"/>
      <c r="J43" s="69"/>
      <c r="K43" s="69"/>
      <c r="L43" s="69"/>
      <c r="M43" s="115"/>
      <c r="N43" s="122"/>
      <c r="O43" s="125"/>
      <c r="P43" s="126"/>
      <c r="Q43" s="125"/>
      <c r="R43" s="126"/>
      <c r="S43" s="125"/>
      <c r="T43" s="126"/>
      <c r="U43" s="3"/>
      <c r="V43" s="122"/>
    </row>
    <row r="44" spans="3:22" ht="15.75" thickBot="1" x14ac:dyDescent="0.3">
      <c r="C44" s="43" t="s">
        <v>18</v>
      </c>
      <c r="D44" s="42">
        <f>D40+D42</f>
        <v>33019</v>
      </c>
      <c r="E44" s="34"/>
      <c r="F44" s="34">
        <f>F40+F42</f>
        <v>30185</v>
      </c>
      <c r="G44" s="82"/>
      <c r="H44" s="83">
        <f>H40+H42</f>
        <v>46542</v>
      </c>
      <c r="I44" s="84"/>
      <c r="J44" s="84">
        <f>J40+J42</f>
        <v>40596</v>
      </c>
      <c r="K44" s="84"/>
      <c r="L44" s="84">
        <f>L40+L42</f>
        <v>43654</v>
      </c>
      <c r="M44" s="117"/>
      <c r="N44" s="124">
        <f>N40+N42</f>
        <v>25201.600000000002</v>
      </c>
      <c r="O44" s="83"/>
      <c r="P44" s="85">
        <f>P40+P42</f>
        <v>29609.600000000002</v>
      </c>
      <c r="Q44" s="83"/>
      <c r="R44" s="85">
        <f>R40+R42</f>
        <v>33677.590000000011</v>
      </c>
      <c r="S44" s="83"/>
      <c r="T44" s="85">
        <f>T40+T42</f>
        <v>40809.306100000016</v>
      </c>
      <c r="U44" s="132"/>
      <c r="V44" s="124">
        <f>V40+V42</f>
        <v>47606.981305000016</v>
      </c>
    </row>
    <row r="45" spans="3:22" ht="15.75" thickBot="1" x14ac:dyDescent="0.3">
      <c r="D45" s="3"/>
      <c r="E45" s="3"/>
      <c r="F45" s="3"/>
      <c r="G45" s="3"/>
      <c r="H45" s="3"/>
      <c r="I45" s="3"/>
      <c r="J45" s="3"/>
      <c r="L45" s="3"/>
      <c r="N45" s="3"/>
      <c r="P45" s="3"/>
      <c r="R45" s="3"/>
      <c r="T45" s="3"/>
      <c r="V45" s="3"/>
    </row>
    <row r="46" spans="3:22" ht="15.75" thickBot="1" x14ac:dyDescent="0.3">
      <c r="C46" s="97" t="s">
        <v>25</v>
      </c>
      <c r="D46" s="96"/>
      <c r="E46" s="94"/>
      <c r="F46" s="94"/>
      <c r="G46" s="94"/>
      <c r="H46" s="94"/>
      <c r="I46" s="94"/>
      <c r="J46" s="95">
        <v>2023</v>
      </c>
      <c r="K46" s="95"/>
      <c r="L46" s="112">
        <f>L31</f>
        <v>2024</v>
      </c>
      <c r="M46" s="133"/>
      <c r="N46" s="136">
        <f>N31</f>
        <v>2025</v>
      </c>
      <c r="O46" s="139"/>
      <c r="P46" s="140">
        <f>P31</f>
        <v>2026</v>
      </c>
      <c r="Q46" s="139"/>
      <c r="R46" s="140">
        <f>R31</f>
        <v>2027</v>
      </c>
      <c r="S46" s="139"/>
      <c r="T46" s="140">
        <f>T31</f>
        <v>2028</v>
      </c>
      <c r="U46" s="139"/>
      <c r="V46" s="140">
        <f>V31</f>
        <v>2029</v>
      </c>
    </row>
    <row r="47" spans="3:22" x14ac:dyDescent="0.25">
      <c r="C47" s="90" t="s">
        <v>34</v>
      </c>
      <c r="D47" s="91"/>
      <c r="E47" s="91"/>
      <c r="F47" s="91"/>
      <c r="G47" s="91"/>
      <c r="H47" s="91"/>
      <c r="I47" s="91"/>
      <c r="J47" s="91"/>
      <c r="K47" s="92"/>
      <c r="L47" s="91"/>
      <c r="M47" s="134"/>
      <c r="N47" s="137">
        <v>0</v>
      </c>
      <c r="O47" s="141"/>
      <c r="P47" s="93">
        <v>0</v>
      </c>
      <c r="Q47" s="141"/>
      <c r="R47" s="93">
        <v>0</v>
      </c>
      <c r="S47" s="141"/>
      <c r="T47" s="93">
        <v>0</v>
      </c>
      <c r="U47" s="141"/>
      <c r="V47" s="93">
        <v>0</v>
      </c>
    </row>
    <row r="48" spans="3:22" ht="15.75" thickBot="1" x14ac:dyDescent="0.3">
      <c r="C48" s="86" t="s">
        <v>30</v>
      </c>
      <c r="D48" s="87"/>
      <c r="E48" s="87"/>
      <c r="F48" s="87"/>
      <c r="G48" s="87"/>
      <c r="H48" s="87"/>
      <c r="I48" s="87"/>
      <c r="J48" s="87"/>
      <c r="K48" s="88"/>
      <c r="L48" s="87"/>
      <c r="M48" s="135"/>
      <c r="N48" s="138">
        <v>0</v>
      </c>
      <c r="O48" s="142"/>
      <c r="P48" s="89">
        <v>0</v>
      </c>
      <c r="Q48" s="142"/>
      <c r="R48" s="89">
        <v>3300</v>
      </c>
      <c r="S48" s="142"/>
      <c r="T48" s="89">
        <v>0</v>
      </c>
      <c r="U48" s="142"/>
      <c r="V48" s="89">
        <v>0</v>
      </c>
    </row>
    <row r="49" spans="3:10" x14ac:dyDescent="0.25">
      <c r="D49" s="3"/>
      <c r="E49" s="3"/>
      <c r="F49" s="3"/>
      <c r="G49" s="3"/>
      <c r="H49" s="3"/>
      <c r="I49" s="3"/>
      <c r="J49" s="13"/>
    </row>
    <row r="50" spans="3:10" x14ac:dyDescent="0.25">
      <c r="C50" s="25" t="s">
        <v>27</v>
      </c>
      <c r="D50" s="3"/>
      <c r="E50" s="3"/>
      <c r="F50" s="3"/>
      <c r="G50" s="3"/>
      <c r="H50" s="3"/>
      <c r="I50" s="3"/>
      <c r="J50" s="13"/>
    </row>
    <row r="51" spans="3:10" x14ac:dyDescent="0.25">
      <c r="C51" t="s">
        <v>69</v>
      </c>
      <c r="D51" s="3"/>
      <c r="E51" s="3"/>
      <c r="F51" s="3"/>
      <c r="G51" s="3"/>
      <c r="H51" s="3"/>
      <c r="I51" s="3"/>
      <c r="J51" s="13"/>
    </row>
    <row r="52" spans="3:10" x14ac:dyDescent="0.25">
      <c r="C52" t="s">
        <v>33</v>
      </c>
      <c r="D52" s="3"/>
      <c r="E52" s="3"/>
      <c r="F52" s="3"/>
      <c r="G52" s="3"/>
      <c r="H52" s="3"/>
      <c r="I52" s="3"/>
      <c r="J52" s="13"/>
    </row>
    <row r="53" spans="3:10" x14ac:dyDescent="0.25">
      <c r="C53" t="s">
        <v>70</v>
      </c>
      <c r="D53" s="3"/>
      <c r="E53" s="3"/>
      <c r="F53" s="3"/>
      <c r="G53" s="3"/>
      <c r="H53" s="3"/>
      <c r="I53" s="3"/>
      <c r="J53" s="13"/>
    </row>
    <row r="54" spans="3:10" x14ac:dyDescent="0.25">
      <c r="D54" s="3"/>
      <c r="E54" s="3"/>
      <c r="F54" s="3"/>
      <c r="G54" s="3"/>
      <c r="H54" s="3"/>
      <c r="I54" s="3"/>
      <c r="J54" s="13"/>
    </row>
    <row r="55" spans="3:10" x14ac:dyDescent="0.25">
      <c r="C55" s="25" t="s">
        <v>67</v>
      </c>
      <c r="D55" s="3"/>
      <c r="E55" s="3"/>
      <c r="F55" s="3"/>
      <c r="G55" s="3"/>
      <c r="H55" s="3"/>
      <c r="I55" s="3"/>
      <c r="J55" s="13"/>
    </row>
    <row r="56" spans="3:10" x14ac:dyDescent="0.25">
      <c r="C56" t="s">
        <v>68</v>
      </c>
      <c r="D56" s="3"/>
      <c r="E56" s="3"/>
      <c r="F56" s="3"/>
      <c r="G56" s="3"/>
      <c r="H56" s="3"/>
      <c r="I56" s="3"/>
      <c r="J56" s="13"/>
    </row>
    <row r="57" spans="3:10" x14ac:dyDescent="0.25">
      <c r="C57" t="s">
        <v>74</v>
      </c>
      <c r="D57" s="3"/>
      <c r="E57" s="3"/>
      <c r="F57" s="3"/>
      <c r="G57" s="3"/>
      <c r="H57" s="3"/>
      <c r="I57" s="3"/>
      <c r="J57" s="13"/>
    </row>
    <row r="58" spans="3:10" x14ac:dyDescent="0.25">
      <c r="D58" s="3"/>
      <c r="E58" s="3"/>
      <c r="F58" s="3"/>
      <c r="G58" s="3"/>
      <c r="H58" s="3"/>
      <c r="I58" s="3"/>
      <c r="J58" s="13"/>
    </row>
    <row r="59" spans="3:10" ht="15.75" x14ac:dyDescent="0.25">
      <c r="D59" s="15"/>
      <c r="E59" s="15"/>
      <c r="F59" s="16"/>
      <c r="G59" s="16"/>
      <c r="H59" s="16"/>
      <c r="I59" s="16"/>
      <c r="J59" s="16"/>
    </row>
    <row r="60" spans="3:10" ht="15.75" x14ac:dyDescent="0.25">
      <c r="D60" s="15"/>
      <c r="E60" s="15"/>
      <c r="F60" s="16"/>
      <c r="G60" s="16"/>
      <c r="H60" s="16"/>
      <c r="I60" s="16"/>
      <c r="J60" s="16"/>
    </row>
    <row r="61" spans="3:10" ht="15.75" x14ac:dyDescent="0.25">
      <c r="D61" s="15"/>
      <c r="E61" s="15"/>
      <c r="F61" s="16"/>
      <c r="G61" s="16"/>
      <c r="H61" s="16"/>
      <c r="I61" s="16"/>
      <c r="J61" s="16"/>
    </row>
    <row r="62" spans="3:10" ht="15.75" x14ac:dyDescent="0.25">
      <c r="D62" s="18"/>
      <c r="E62" s="14"/>
      <c r="F62" s="16"/>
      <c r="G62" s="16"/>
      <c r="H62" s="16"/>
      <c r="I62" s="16"/>
      <c r="J62" s="16"/>
    </row>
    <row r="63" spans="3:10" ht="15.75" x14ac:dyDescent="0.25">
      <c r="C63" s="15"/>
      <c r="D63" s="15"/>
      <c r="E63" s="14"/>
      <c r="F63" s="16"/>
      <c r="G63" s="16"/>
      <c r="H63" s="16"/>
      <c r="I63" s="16"/>
      <c r="J63" s="16"/>
    </row>
    <row r="64" spans="3:10" ht="15.75" x14ac:dyDescent="0.25">
      <c r="C64" s="24" t="s">
        <v>76</v>
      </c>
      <c r="D64" s="3"/>
      <c r="E64" s="3"/>
      <c r="F64" s="3"/>
      <c r="G64" s="3"/>
      <c r="H64" s="3"/>
      <c r="I64" s="3"/>
      <c r="J64" s="3"/>
    </row>
    <row r="65" spans="3:10" ht="15.75" x14ac:dyDescent="0.25">
      <c r="C65" s="24" t="s">
        <v>31</v>
      </c>
      <c r="D65" s="3"/>
      <c r="E65" s="3"/>
      <c r="F65" s="3"/>
      <c r="G65" s="3"/>
      <c r="H65" s="3"/>
      <c r="I65" s="3"/>
      <c r="J65" s="3"/>
    </row>
    <row r="66" spans="3:10" ht="15.75" x14ac:dyDescent="0.25">
      <c r="C66" s="24"/>
      <c r="D66" s="3"/>
      <c r="E66" s="3"/>
      <c r="F66" s="3"/>
      <c r="G66" s="3"/>
      <c r="H66" s="3"/>
      <c r="I66" s="3"/>
      <c r="J66" s="3"/>
    </row>
    <row r="67" spans="3:10" x14ac:dyDescent="0.25">
      <c r="C67" s="25"/>
      <c r="D67" s="3"/>
      <c r="E67" s="3"/>
      <c r="F67" s="3"/>
      <c r="G67" s="3"/>
      <c r="H67" s="3"/>
      <c r="I67" s="3"/>
      <c r="J67" s="3"/>
    </row>
    <row r="68" spans="3:10" x14ac:dyDescent="0.25">
      <c r="D68" s="3"/>
      <c r="E68" s="3"/>
      <c r="F68" s="3"/>
      <c r="G68" s="3"/>
      <c r="H68" s="3"/>
      <c r="I68" s="3"/>
      <c r="J68" s="3"/>
    </row>
    <row r="69" spans="3:10" x14ac:dyDescent="0.25">
      <c r="D69" s="3"/>
      <c r="E69" s="3"/>
      <c r="F69" s="3"/>
      <c r="G69" s="3"/>
      <c r="H69" s="3"/>
      <c r="I69" s="3"/>
      <c r="J69" s="3"/>
    </row>
    <row r="70" spans="3:10" x14ac:dyDescent="0.25">
      <c r="D70" s="3"/>
      <c r="E70" s="3"/>
      <c r="F70" s="3"/>
      <c r="G70" s="3"/>
      <c r="H70" s="3"/>
      <c r="I70" s="3"/>
      <c r="J70" s="3"/>
    </row>
    <row r="71" spans="3:10" x14ac:dyDescent="0.25">
      <c r="D71" s="3"/>
      <c r="E71" s="3"/>
      <c r="F71" s="3"/>
      <c r="G71" s="3"/>
      <c r="H71" s="3"/>
      <c r="I71" s="3"/>
      <c r="J71" s="3"/>
    </row>
    <row r="72" spans="3:10" x14ac:dyDescent="0.25">
      <c r="D72" s="3"/>
      <c r="E72" s="3"/>
      <c r="F72" s="3"/>
      <c r="G72" s="3"/>
      <c r="H72" s="3"/>
      <c r="I72" s="3"/>
      <c r="J72" s="3"/>
    </row>
    <row r="73" spans="3:10" x14ac:dyDescent="0.25">
      <c r="D73" s="3"/>
      <c r="E73" s="3"/>
      <c r="F73" s="3"/>
      <c r="G73" s="3"/>
      <c r="H73" s="3"/>
      <c r="I73" s="3"/>
      <c r="J73" s="3"/>
    </row>
    <row r="74" spans="3:10" x14ac:dyDescent="0.25">
      <c r="D74" s="3"/>
      <c r="E74" s="3"/>
      <c r="F74" s="3"/>
      <c r="G74" s="3"/>
      <c r="H74" s="3"/>
      <c r="I74" s="3"/>
      <c r="J74" s="3"/>
    </row>
    <row r="75" spans="3:10" x14ac:dyDescent="0.25">
      <c r="D75" s="3"/>
      <c r="E75" s="3"/>
      <c r="F75" s="3"/>
      <c r="G75" s="3"/>
      <c r="H75" s="3"/>
      <c r="I75" s="3"/>
      <c r="J75" s="3"/>
    </row>
    <row r="76" spans="3:10" x14ac:dyDescent="0.25">
      <c r="D76" s="3"/>
      <c r="E76" s="3"/>
      <c r="F76" s="3"/>
      <c r="G76" s="3"/>
      <c r="H76" s="3"/>
      <c r="I76" s="3"/>
      <c r="J76" s="3"/>
    </row>
    <row r="77" spans="3:10" x14ac:dyDescent="0.25">
      <c r="D77" s="3"/>
      <c r="E77" s="3"/>
      <c r="F77" s="3"/>
      <c r="G77" s="3"/>
      <c r="H77" s="3"/>
      <c r="I77" s="3"/>
      <c r="J77" s="3"/>
    </row>
    <row r="78" spans="3:10" x14ac:dyDescent="0.25">
      <c r="D78" s="3"/>
      <c r="E78" s="3"/>
      <c r="F78" s="3"/>
      <c r="G78" s="3"/>
      <c r="H78" s="3"/>
      <c r="I78" s="3"/>
      <c r="J78" s="3"/>
    </row>
    <row r="79" spans="3:10" x14ac:dyDescent="0.25">
      <c r="D79" s="3"/>
      <c r="E79" s="3"/>
      <c r="F79" s="3"/>
      <c r="G79" s="3"/>
      <c r="H79" s="3"/>
      <c r="I79" s="3"/>
      <c r="J79" s="3"/>
    </row>
    <row r="80" spans="3:10" x14ac:dyDescent="0.25">
      <c r="D80" s="3"/>
      <c r="E80" s="3"/>
      <c r="F80" s="3"/>
      <c r="G80" s="3"/>
      <c r="H80" s="3"/>
      <c r="I80" s="3"/>
      <c r="J80" s="3"/>
    </row>
    <row r="81" spans="4:10" x14ac:dyDescent="0.25">
      <c r="D81" s="3"/>
      <c r="E81" s="3"/>
      <c r="F81" s="3"/>
      <c r="G81" s="3"/>
      <c r="H81" s="3"/>
      <c r="I81" s="3"/>
      <c r="J81" s="3"/>
    </row>
    <row r="82" spans="4:10" x14ac:dyDescent="0.25">
      <c r="D82" s="3"/>
      <c r="E82" s="3"/>
      <c r="F82" s="3"/>
      <c r="G82" s="3"/>
      <c r="H82" s="3"/>
      <c r="I82" s="3"/>
      <c r="J82" s="3"/>
    </row>
    <row r="83" spans="4:10" x14ac:dyDescent="0.25">
      <c r="D83" s="3"/>
      <c r="E83" s="3"/>
      <c r="F83" s="3"/>
      <c r="G83" s="3"/>
      <c r="H83" s="3"/>
      <c r="I83" s="3"/>
      <c r="J83" s="3"/>
    </row>
    <row r="84" spans="4:10" x14ac:dyDescent="0.25">
      <c r="D84" s="3"/>
      <c r="E84" s="3"/>
      <c r="F84" s="3"/>
      <c r="G84" s="3"/>
      <c r="H84" s="3"/>
      <c r="I84" s="3"/>
      <c r="J84" s="3"/>
    </row>
    <row r="85" spans="4:10" x14ac:dyDescent="0.25">
      <c r="D85" s="3"/>
      <c r="E85" s="3"/>
      <c r="F85" s="3"/>
      <c r="G85" s="3"/>
      <c r="H85" s="3"/>
      <c r="I85" s="3"/>
      <c r="J85" s="3"/>
    </row>
    <row r="86" spans="4:10" x14ac:dyDescent="0.25">
      <c r="D86" s="3"/>
      <c r="E86" s="3"/>
      <c r="F86" s="3"/>
      <c r="G86" s="3"/>
      <c r="H86" s="3"/>
      <c r="I86" s="3"/>
      <c r="J86" s="3"/>
    </row>
    <row r="87" spans="4:10" x14ac:dyDescent="0.25">
      <c r="D87" s="3"/>
      <c r="E87" s="3"/>
      <c r="F87" s="3"/>
      <c r="G87" s="3"/>
      <c r="H87" s="3"/>
      <c r="I87" s="3"/>
      <c r="J87" s="3"/>
    </row>
    <row r="88" spans="4:10" x14ac:dyDescent="0.25">
      <c r="D88" s="3"/>
      <c r="E88" s="3"/>
      <c r="F88" s="3"/>
      <c r="G88" s="3"/>
      <c r="H88" s="3"/>
      <c r="I88" s="3"/>
      <c r="J88" s="3"/>
    </row>
    <row r="89" spans="4:10" x14ac:dyDescent="0.25">
      <c r="D89" s="3"/>
      <c r="E89" s="3"/>
      <c r="F89" s="3"/>
      <c r="G89" s="3"/>
      <c r="H89" s="3"/>
      <c r="I89" s="3"/>
      <c r="J89" s="3"/>
    </row>
    <row r="90" spans="4:10" x14ac:dyDescent="0.25">
      <c r="D90" s="3"/>
      <c r="E90" s="3"/>
      <c r="F90" s="3"/>
      <c r="G90" s="3"/>
      <c r="H90" s="3"/>
      <c r="I90" s="3"/>
      <c r="J90" s="3"/>
    </row>
    <row r="91" spans="4:10" x14ac:dyDescent="0.25">
      <c r="D91" s="3"/>
      <c r="E91" s="3"/>
      <c r="F91" s="3"/>
      <c r="G91" s="3"/>
      <c r="H91" s="3"/>
      <c r="I91" s="3"/>
      <c r="J91" s="3"/>
    </row>
    <row r="92" spans="4:10" x14ac:dyDescent="0.25">
      <c r="D92" s="3"/>
      <c r="E92" s="3"/>
      <c r="F92" s="3"/>
      <c r="G92" s="3"/>
      <c r="H92" s="3"/>
      <c r="I92" s="3"/>
      <c r="J92" s="3"/>
    </row>
    <row r="93" spans="4:10" x14ac:dyDescent="0.25">
      <c r="D93" s="3"/>
      <c r="E93" s="3"/>
      <c r="F93" s="3"/>
      <c r="G93" s="3"/>
      <c r="H93" s="3"/>
      <c r="I93" s="3"/>
      <c r="J93" s="3"/>
    </row>
    <row r="94" spans="4:10" x14ac:dyDescent="0.25">
      <c r="D94" s="3"/>
      <c r="E94" s="3"/>
      <c r="F94" s="3"/>
      <c r="G94" s="3"/>
      <c r="H94" s="3"/>
      <c r="I94" s="3"/>
      <c r="J94" s="3"/>
    </row>
    <row r="95" spans="4:10" x14ac:dyDescent="0.25">
      <c r="D95" s="3"/>
      <c r="E95" s="3"/>
      <c r="F95" s="3"/>
      <c r="G95" s="3"/>
      <c r="H95" s="3"/>
      <c r="I95" s="3"/>
      <c r="J95" s="3"/>
    </row>
    <row r="96" spans="4:10" x14ac:dyDescent="0.25">
      <c r="D96" s="3"/>
      <c r="E96" s="3"/>
      <c r="F96" s="3"/>
      <c r="G96" s="3"/>
      <c r="H96" s="3"/>
      <c r="I96" s="3"/>
      <c r="J96" s="3"/>
    </row>
    <row r="97" spans="4:10" x14ac:dyDescent="0.25">
      <c r="D97" s="3"/>
      <c r="E97" s="3"/>
      <c r="F97" s="3"/>
      <c r="G97" s="3"/>
      <c r="H97" s="3"/>
      <c r="I97" s="3"/>
      <c r="J97" s="3"/>
    </row>
    <row r="98" spans="4:10" x14ac:dyDescent="0.25">
      <c r="D98" s="3"/>
      <c r="E98" s="3"/>
      <c r="F98" s="3"/>
      <c r="G98" s="3"/>
      <c r="H98" s="3"/>
      <c r="I98" s="3"/>
      <c r="J98" s="3"/>
    </row>
    <row r="99" spans="4:10" x14ac:dyDescent="0.25">
      <c r="D99" s="3"/>
      <c r="E99" s="3"/>
      <c r="F99" s="3"/>
      <c r="G99" s="3"/>
      <c r="H99" s="3"/>
      <c r="I99" s="3"/>
      <c r="J99" s="3"/>
    </row>
    <row r="100" spans="4:10" x14ac:dyDescent="0.25">
      <c r="D100" s="3"/>
      <c r="E100" s="3"/>
      <c r="F100" s="3"/>
      <c r="G100" s="3"/>
      <c r="H100" s="3"/>
      <c r="I100" s="3"/>
      <c r="J100" s="3"/>
    </row>
    <row r="101" spans="4:10" x14ac:dyDescent="0.25">
      <c r="D101" s="3"/>
      <c r="E101" s="3"/>
      <c r="F101" s="3"/>
      <c r="G101" s="3"/>
      <c r="H101" s="3"/>
      <c r="I101" s="3"/>
      <c r="J101" s="3"/>
    </row>
    <row r="102" spans="4:10" x14ac:dyDescent="0.25">
      <c r="D102" s="3"/>
      <c r="E102" s="3"/>
      <c r="F102" s="3"/>
      <c r="G102" s="3"/>
      <c r="H102" s="3"/>
      <c r="I102" s="3"/>
      <c r="J102" s="3"/>
    </row>
    <row r="103" spans="4:10" x14ac:dyDescent="0.25">
      <c r="D103" s="3"/>
      <c r="E103" s="3"/>
      <c r="F103" s="3"/>
      <c r="G103" s="3"/>
      <c r="H103" s="3"/>
      <c r="I103" s="3"/>
      <c r="J103" s="3"/>
    </row>
    <row r="104" spans="4:10" x14ac:dyDescent="0.25">
      <c r="D104" s="3"/>
      <c r="E104" s="3"/>
      <c r="F104" s="3"/>
      <c r="G104" s="3"/>
      <c r="H104" s="3"/>
      <c r="I104" s="3"/>
      <c r="J104" s="3"/>
    </row>
    <row r="105" spans="4:10" x14ac:dyDescent="0.25">
      <c r="D105" s="3"/>
      <c r="E105" s="3"/>
      <c r="F105" s="3"/>
      <c r="G105" s="3"/>
      <c r="H105" s="3"/>
      <c r="I105" s="3"/>
      <c r="J105" s="3"/>
    </row>
    <row r="106" spans="4:10" x14ac:dyDescent="0.25">
      <c r="D106" s="3"/>
      <c r="E106" s="3"/>
      <c r="F106" s="3"/>
      <c r="G106" s="3"/>
      <c r="H106" s="3"/>
      <c r="I106" s="3"/>
      <c r="J106" s="3"/>
    </row>
    <row r="107" spans="4:10" x14ac:dyDescent="0.25">
      <c r="D107" s="3"/>
      <c r="E107" s="3"/>
      <c r="F107" s="3"/>
      <c r="G107" s="3"/>
      <c r="H107" s="3"/>
      <c r="I107" s="3"/>
      <c r="J107" s="3"/>
    </row>
    <row r="108" spans="4:10" x14ac:dyDescent="0.25">
      <c r="D108" s="3"/>
      <c r="E108" s="3"/>
      <c r="F108" s="3"/>
      <c r="G108" s="3"/>
      <c r="H108" s="3"/>
      <c r="I108" s="3"/>
      <c r="J108" s="3"/>
    </row>
    <row r="109" spans="4:10" x14ac:dyDescent="0.25">
      <c r="D109" s="3"/>
      <c r="E109" s="3"/>
      <c r="F109" s="3"/>
      <c r="G109" s="3"/>
      <c r="H109" s="3"/>
      <c r="I109" s="3"/>
      <c r="J109" s="3"/>
    </row>
    <row r="110" spans="4:10" x14ac:dyDescent="0.25">
      <c r="D110" s="3"/>
      <c r="E110" s="3"/>
      <c r="F110" s="3"/>
      <c r="G110" s="3"/>
      <c r="H110" s="3"/>
      <c r="I110" s="3"/>
      <c r="J110" s="3"/>
    </row>
    <row r="111" spans="4:10" x14ac:dyDescent="0.25">
      <c r="D111" s="3"/>
      <c r="E111" s="3"/>
      <c r="F111" s="3"/>
      <c r="G111" s="3"/>
      <c r="H111" s="3"/>
      <c r="I111" s="3"/>
      <c r="J111" s="3"/>
    </row>
    <row r="112" spans="4:10" x14ac:dyDescent="0.25">
      <c r="D112" s="3"/>
      <c r="E112" s="3"/>
      <c r="F112" s="3"/>
      <c r="G112" s="3"/>
      <c r="H112" s="3"/>
      <c r="I112" s="3"/>
      <c r="J112" s="3"/>
    </row>
    <row r="113" spans="4:10" x14ac:dyDescent="0.25">
      <c r="D113" s="3"/>
      <c r="E113" s="3"/>
      <c r="F113" s="3"/>
      <c r="G113" s="3"/>
      <c r="H113" s="3"/>
      <c r="I113" s="3"/>
      <c r="J113" s="3"/>
    </row>
    <row r="114" spans="4:10" x14ac:dyDescent="0.25">
      <c r="D114" s="3"/>
      <c r="E114" s="3"/>
      <c r="F114" s="3"/>
      <c r="G114" s="3"/>
      <c r="H114" s="3"/>
      <c r="I114" s="3"/>
      <c r="J114" s="3"/>
    </row>
    <row r="115" spans="4:10" x14ac:dyDescent="0.25">
      <c r="D115" s="3"/>
      <c r="E115" s="3"/>
      <c r="F115" s="3"/>
      <c r="G115" s="3"/>
      <c r="H115" s="3"/>
      <c r="I115" s="3"/>
      <c r="J115" s="3"/>
    </row>
    <row r="116" spans="4:10" x14ac:dyDescent="0.25">
      <c r="D116" s="3"/>
      <c r="E116" s="3"/>
      <c r="F116" s="3"/>
      <c r="G116" s="3"/>
      <c r="H116" s="3"/>
      <c r="I116" s="3"/>
      <c r="J116" s="3"/>
    </row>
    <row r="117" spans="4:10" x14ac:dyDescent="0.25">
      <c r="D117" s="3"/>
      <c r="E117" s="3"/>
      <c r="F117" s="3"/>
      <c r="G117" s="3"/>
      <c r="H117" s="3"/>
      <c r="I117" s="3"/>
      <c r="J117" s="3"/>
    </row>
    <row r="118" spans="4:10" x14ac:dyDescent="0.25">
      <c r="D118" s="3"/>
      <c r="E118" s="3"/>
      <c r="F118" s="3"/>
      <c r="G118" s="3"/>
      <c r="H118" s="3"/>
      <c r="I118" s="3"/>
      <c r="J118" s="3"/>
    </row>
    <row r="119" spans="4:10" x14ac:dyDescent="0.25">
      <c r="D119" s="3"/>
      <c r="E119" s="3"/>
      <c r="F119" s="3"/>
      <c r="G119" s="3"/>
      <c r="H119" s="3"/>
      <c r="I119" s="3"/>
      <c r="J119" s="3"/>
    </row>
    <row r="120" spans="4:10" x14ac:dyDescent="0.25">
      <c r="D120" s="3"/>
      <c r="E120" s="3"/>
      <c r="F120" s="3"/>
      <c r="G120" s="3"/>
      <c r="H120" s="3"/>
      <c r="I120" s="3"/>
      <c r="J120" s="3"/>
    </row>
    <row r="121" spans="4:10" x14ac:dyDescent="0.25">
      <c r="D121" s="3"/>
      <c r="E121" s="3"/>
      <c r="F121" s="3"/>
      <c r="G121" s="3"/>
      <c r="H121" s="3"/>
      <c r="I121" s="3"/>
      <c r="J121" s="3"/>
    </row>
    <row r="122" spans="4:10" x14ac:dyDescent="0.25">
      <c r="D122" s="3"/>
      <c r="E122" s="3"/>
      <c r="F122" s="3"/>
      <c r="G122" s="3"/>
      <c r="H122" s="3"/>
      <c r="I122" s="3"/>
      <c r="J122" s="3"/>
    </row>
    <row r="123" spans="4:10" x14ac:dyDescent="0.25">
      <c r="D123" s="3"/>
      <c r="E123" s="3"/>
      <c r="F123" s="3"/>
      <c r="G123" s="3"/>
      <c r="H123" s="3"/>
      <c r="I123" s="3"/>
      <c r="J123" s="3"/>
    </row>
    <row r="124" spans="4:10" x14ac:dyDescent="0.25">
      <c r="D124" s="3"/>
      <c r="E124" s="3"/>
      <c r="F124" s="3"/>
      <c r="G124" s="3"/>
      <c r="H124" s="3"/>
      <c r="I124" s="3"/>
      <c r="J124" s="3"/>
    </row>
    <row r="125" spans="4:10" x14ac:dyDescent="0.25">
      <c r="D125" s="3"/>
      <c r="E125" s="3"/>
      <c r="F125" s="3"/>
      <c r="G125" s="3"/>
      <c r="H125" s="3"/>
      <c r="I125" s="3"/>
      <c r="J125" s="3"/>
    </row>
    <row r="126" spans="4:10" x14ac:dyDescent="0.25">
      <c r="D126" s="3"/>
      <c r="E126" s="3"/>
      <c r="F126" s="3"/>
      <c r="G126" s="3"/>
      <c r="H126" s="3"/>
      <c r="I126" s="3"/>
      <c r="J126" s="3"/>
    </row>
    <row r="127" spans="4:10" x14ac:dyDescent="0.25">
      <c r="D127" s="3"/>
      <c r="E127" s="3"/>
      <c r="F127" s="3"/>
      <c r="G127" s="3"/>
      <c r="H127" s="3"/>
      <c r="I127" s="3"/>
      <c r="J127" s="3"/>
    </row>
    <row r="128" spans="4:10" x14ac:dyDescent="0.25">
      <c r="D128" s="3"/>
      <c r="E128" s="3"/>
      <c r="F128" s="3"/>
      <c r="G128" s="3"/>
      <c r="H128" s="3"/>
      <c r="I128" s="3"/>
      <c r="J128" s="3"/>
    </row>
    <row r="129" spans="4:10" x14ac:dyDescent="0.25">
      <c r="D129" s="3"/>
      <c r="E129" s="3"/>
      <c r="F129" s="3"/>
      <c r="G129" s="3"/>
      <c r="H129" s="3"/>
      <c r="I129" s="3"/>
      <c r="J129" s="3"/>
    </row>
    <row r="130" spans="4:10" x14ac:dyDescent="0.25">
      <c r="D130" s="3"/>
      <c r="E130" s="3"/>
      <c r="F130" s="3"/>
      <c r="G130" s="3"/>
      <c r="H130" s="3"/>
      <c r="I130" s="3"/>
      <c r="J130" s="3"/>
    </row>
    <row r="131" spans="4:10" x14ac:dyDescent="0.25">
      <c r="D131" s="3"/>
      <c r="E131" s="3"/>
      <c r="F131" s="3"/>
      <c r="G131" s="3"/>
      <c r="H131" s="3"/>
      <c r="I131" s="3"/>
      <c r="J131" s="3"/>
    </row>
    <row r="132" spans="4:10" x14ac:dyDescent="0.25">
      <c r="D132" s="3"/>
      <c r="E132" s="3"/>
      <c r="F132" s="3"/>
      <c r="G132" s="3"/>
      <c r="H132" s="3"/>
      <c r="I132" s="3"/>
      <c r="J132" s="3"/>
    </row>
    <row r="133" spans="4:10" x14ac:dyDescent="0.25">
      <c r="D133" s="3"/>
      <c r="E133" s="3"/>
      <c r="F133" s="3"/>
      <c r="G133" s="3"/>
      <c r="H133" s="3"/>
      <c r="I133" s="3"/>
      <c r="J133" s="3"/>
    </row>
    <row r="134" spans="4:10" x14ac:dyDescent="0.25">
      <c r="D134" s="3"/>
      <c r="E134" s="3"/>
      <c r="F134" s="3"/>
      <c r="G134" s="3"/>
      <c r="H134" s="3"/>
      <c r="I134" s="3"/>
      <c r="J134" s="3"/>
    </row>
    <row r="135" spans="4:10" x14ac:dyDescent="0.25">
      <c r="D135" s="3"/>
      <c r="E135" s="3"/>
      <c r="F135" s="3"/>
      <c r="G135" s="3"/>
      <c r="H135" s="3"/>
      <c r="I135" s="3"/>
      <c r="J135" s="3"/>
    </row>
    <row r="136" spans="4:10" x14ac:dyDescent="0.25">
      <c r="D136" s="3"/>
      <c r="E136" s="3"/>
      <c r="F136" s="3"/>
      <c r="G136" s="3"/>
      <c r="H136" s="3"/>
      <c r="I136" s="3"/>
      <c r="J136" s="3"/>
    </row>
    <row r="137" spans="4:10" x14ac:dyDescent="0.25">
      <c r="D137" s="3"/>
      <c r="E137" s="3"/>
      <c r="F137" s="3"/>
      <c r="G137" s="3"/>
      <c r="H137" s="3"/>
      <c r="I137" s="3"/>
      <c r="J137" s="3"/>
    </row>
    <row r="138" spans="4:10" x14ac:dyDescent="0.25">
      <c r="D138" s="3"/>
      <c r="E138" s="3"/>
      <c r="F138" s="3"/>
      <c r="G138" s="3"/>
      <c r="H138" s="3"/>
      <c r="I138" s="3"/>
      <c r="J138" s="3"/>
    </row>
    <row r="139" spans="4:10" x14ac:dyDescent="0.25">
      <c r="D139" s="3"/>
      <c r="E139" s="3"/>
      <c r="F139" s="3"/>
      <c r="G139" s="3"/>
      <c r="H139" s="3"/>
      <c r="I139" s="3"/>
      <c r="J139" s="3"/>
    </row>
    <row r="140" spans="4:10" x14ac:dyDescent="0.25">
      <c r="D140" s="3"/>
      <c r="E140" s="3"/>
      <c r="F140" s="3"/>
      <c r="G140" s="3"/>
      <c r="H140" s="3"/>
      <c r="I140" s="3"/>
      <c r="J140" s="3"/>
    </row>
    <row r="141" spans="4:10" x14ac:dyDescent="0.25">
      <c r="D141" s="3"/>
      <c r="E141" s="3"/>
      <c r="F141" s="3"/>
      <c r="G141" s="3"/>
      <c r="H141" s="3"/>
      <c r="I141" s="3"/>
      <c r="J141" s="3"/>
    </row>
    <row r="142" spans="4:10" x14ac:dyDescent="0.25">
      <c r="D142" s="3"/>
      <c r="E142" s="3"/>
      <c r="F142" s="3"/>
      <c r="G142" s="3"/>
      <c r="H142" s="3"/>
      <c r="I142" s="3"/>
      <c r="J142" s="3"/>
    </row>
    <row r="143" spans="4:10" x14ac:dyDescent="0.25">
      <c r="D143" s="3"/>
      <c r="E143" s="3"/>
      <c r="F143" s="3"/>
      <c r="G143" s="3"/>
      <c r="H143" s="3"/>
      <c r="I143" s="3"/>
      <c r="J143" s="3"/>
    </row>
    <row r="144" spans="4:10" x14ac:dyDescent="0.25">
      <c r="D144" s="3"/>
      <c r="E144" s="3"/>
      <c r="F144" s="3"/>
      <c r="G144" s="3"/>
      <c r="H144" s="3"/>
      <c r="I144" s="3"/>
      <c r="J144" s="3"/>
    </row>
    <row r="145" spans="4:10" x14ac:dyDescent="0.25">
      <c r="D145" s="3"/>
      <c r="E145" s="3"/>
      <c r="F145" s="3"/>
      <c r="G145" s="3"/>
      <c r="H145" s="3"/>
      <c r="I145" s="3"/>
      <c r="J145" s="3"/>
    </row>
    <row r="146" spans="4:10" x14ac:dyDescent="0.25">
      <c r="D146" s="3"/>
      <c r="E146" s="3"/>
      <c r="F146" s="3"/>
      <c r="G146" s="3"/>
      <c r="H146" s="3"/>
      <c r="I146" s="3"/>
      <c r="J146" s="3"/>
    </row>
    <row r="147" spans="4:10" x14ac:dyDescent="0.25">
      <c r="D147" s="3"/>
      <c r="E147" s="3"/>
      <c r="F147" s="3"/>
      <c r="G147" s="3"/>
      <c r="H147" s="3"/>
      <c r="I147" s="3"/>
      <c r="J147" s="3"/>
    </row>
    <row r="148" spans="4:10" x14ac:dyDescent="0.25">
      <c r="D148" s="3"/>
      <c r="E148" s="3"/>
      <c r="F148" s="3"/>
      <c r="G148" s="3"/>
      <c r="H148" s="3"/>
      <c r="I148" s="3"/>
      <c r="J148" s="3"/>
    </row>
    <row r="149" spans="4:10" x14ac:dyDescent="0.25">
      <c r="D149" s="3"/>
      <c r="E149" s="3"/>
      <c r="F149" s="3"/>
      <c r="G149" s="3"/>
      <c r="H149" s="3"/>
      <c r="I149" s="3"/>
      <c r="J149" s="3"/>
    </row>
    <row r="150" spans="4:10" x14ac:dyDescent="0.25">
      <c r="D150" s="3"/>
      <c r="E150" s="3"/>
      <c r="F150" s="3"/>
      <c r="G150" s="3"/>
      <c r="H150" s="3"/>
      <c r="I150" s="3"/>
      <c r="J150" s="3"/>
    </row>
    <row r="151" spans="4:10" x14ac:dyDescent="0.25">
      <c r="D151" s="3"/>
      <c r="E151" s="3"/>
      <c r="F151" s="3"/>
      <c r="G151" s="3"/>
      <c r="H151" s="3"/>
      <c r="I151" s="3"/>
      <c r="J151" s="3"/>
    </row>
    <row r="152" spans="4:10" x14ac:dyDescent="0.25">
      <c r="D152" s="3"/>
      <c r="E152" s="3"/>
      <c r="F152" s="3"/>
      <c r="G152" s="3"/>
      <c r="H152" s="3"/>
      <c r="I152" s="3"/>
      <c r="J152" s="3"/>
    </row>
    <row r="153" spans="4:10" x14ac:dyDescent="0.25">
      <c r="D153" s="3"/>
      <c r="E153" s="3"/>
      <c r="F153" s="3"/>
      <c r="G153" s="3"/>
      <c r="H153" s="3"/>
      <c r="I153" s="3"/>
      <c r="J153" s="3"/>
    </row>
    <row r="154" spans="4:10" x14ac:dyDescent="0.25">
      <c r="D154" s="3"/>
      <c r="E154" s="3"/>
      <c r="F154" s="3"/>
      <c r="G154" s="3"/>
      <c r="H154" s="3"/>
      <c r="I154" s="3"/>
      <c r="J154" s="3"/>
    </row>
    <row r="155" spans="4:10" x14ac:dyDescent="0.25">
      <c r="D155" s="3"/>
      <c r="E155" s="3"/>
      <c r="F155" s="3"/>
      <c r="G155" s="3"/>
      <c r="H155" s="3"/>
      <c r="I155" s="3"/>
      <c r="J155" s="3"/>
    </row>
    <row r="156" spans="4:10" x14ac:dyDescent="0.25">
      <c r="D156" s="3"/>
      <c r="E156" s="3"/>
      <c r="F156" s="3"/>
      <c r="G156" s="3"/>
      <c r="H156" s="3"/>
      <c r="I156" s="3"/>
      <c r="J156" s="3"/>
    </row>
    <row r="157" spans="4:10" x14ac:dyDescent="0.25">
      <c r="D157" s="3"/>
      <c r="E157" s="3"/>
      <c r="F157" s="3"/>
      <c r="G157" s="3"/>
      <c r="H157" s="3"/>
      <c r="I157" s="3"/>
      <c r="J157" s="3"/>
    </row>
    <row r="158" spans="4:10" x14ac:dyDescent="0.25">
      <c r="D158" s="3"/>
      <c r="E158" s="3"/>
      <c r="F158" s="3"/>
      <c r="G158" s="3"/>
      <c r="H158" s="3"/>
      <c r="I158" s="3"/>
      <c r="J158" s="3"/>
    </row>
    <row r="159" spans="4:10" x14ac:dyDescent="0.25">
      <c r="D159" s="3"/>
      <c r="E159" s="3"/>
      <c r="F159" s="3"/>
      <c r="G159" s="3"/>
      <c r="H159" s="3"/>
      <c r="I159" s="3"/>
      <c r="J159" s="3"/>
    </row>
    <row r="160" spans="4:10" x14ac:dyDescent="0.25">
      <c r="D160" s="3"/>
      <c r="E160" s="3"/>
      <c r="F160" s="3"/>
      <c r="G160" s="3"/>
      <c r="H160" s="3"/>
      <c r="I160" s="3"/>
      <c r="J160" s="3"/>
    </row>
    <row r="161" spans="4:10" x14ac:dyDescent="0.25">
      <c r="D161" s="3"/>
      <c r="E161" s="3"/>
      <c r="F161" s="3"/>
      <c r="G161" s="3"/>
      <c r="H161" s="3"/>
      <c r="I161" s="3"/>
      <c r="J161" s="3"/>
    </row>
    <row r="162" spans="4:10" x14ac:dyDescent="0.25">
      <c r="D162" s="3"/>
      <c r="E162" s="3"/>
      <c r="F162" s="3"/>
      <c r="G162" s="3"/>
      <c r="H162" s="3"/>
      <c r="I162" s="3"/>
      <c r="J162" s="3"/>
    </row>
    <row r="163" spans="4:10" x14ac:dyDescent="0.25">
      <c r="D163" s="3"/>
      <c r="E163" s="3"/>
      <c r="F163" s="3"/>
      <c r="G163" s="3"/>
      <c r="H163" s="3"/>
      <c r="I163" s="3"/>
      <c r="J163" s="3"/>
    </row>
    <row r="164" spans="4:10" x14ac:dyDescent="0.25">
      <c r="D164" s="3"/>
      <c r="E164" s="3"/>
      <c r="F164" s="3"/>
      <c r="G164" s="3"/>
      <c r="H164" s="3"/>
      <c r="I164" s="3"/>
      <c r="J164" s="3"/>
    </row>
    <row r="165" spans="4:10" x14ac:dyDescent="0.25">
      <c r="D165" s="3"/>
      <c r="E165" s="3"/>
      <c r="F165" s="3"/>
      <c r="G165" s="3"/>
      <c r="H165" s="3"/>
      <c r="I165" s="3"/>
      <c r="J165" s="3"/>
    </row>
    <row r="166" spans="4:10" x14ac:dyDescent="0.25">
      <c r="D166" s="3"/>
      <c r="E166" s="3"/>
      <c r="F166" s="3"/>
      <c r="G166" s="3"/>
      <c r="H166" s="3"/>
      <c r="I166" s="3"/>
      <c r="J166" s="3"/>
    </row>
    <row r="167" spans="4:10" x14ac:dyDescent="0.25">
      <c r="D167" s="3"/>
      <c r="E167" s="3"/>
      <c r="F167" s="3"/>
      <c r="G167" s="3"/>
      <c r="H167" s="3"/>
      <c r="I167" s="3"/>
      <c r="J167" s="3"/>
    </row>
    <row r="168" spans="4:10" x14ac:dyDescent="0.25">
      <c r="D168" s="3"/>
      <c r="E168" s="3"/>
      <c r="F168" s="3"/>
      <c r="G168" s="3"/>
      <c r="H168" s="3"/>
      <c r="I168" s="3"/>
      <c r="J168" s="3"/>
    </row>
    <row r="169" spans="4:10" x14ac:dyDescent="0.25">
      <c r="D169" s="3"/>
      <c r="E169" s="3"/>
      <c r="F169" s="3"/>
      <c r="G169" s="3"/>
      <c r="H169" s="3"/>
      <c r="I169" s="3"/>
      <c r="J169" s="3"/>
    </row>
    <row r="170" spans="4:10" x14ac:dyDescent="0.25">
      <c r="D170" s="3"/>
      <c r="E170" s="3"/>
      <c r="F170" s="3"/>
      <c r="G170" s="3"/>
      <c r="H170" s="3"/>
      <c r="I170" s="3"/>
      <c r="J170" s="3"/>
    </row>
    <row r="171" spans="4:10" x14ac:dyDescent="0.25">
      <c r="D171" s="3"/>
      <c r="E171" s="3"/>
      <c r="F171" s="3"/>
      <c r="G171" s="3"/>
      <c r="H171" s="3"/>
      <c r="I171" s="3"/>
      <c r="J171" s="3"/>
    </row>
    <row r="172" spans="4:10" x14ac:dyDescent="0.25">
      <c r="D172" s="3"/>
      <c r="E172" s="3"/>
      <c r="F172" s="3"/>
      <c r="G172" s="3"/>
      <c r="H172" s="3"/>
      <c r="I172" s="3"/>
      <c r="J172" s="3"/>
    </row>
    <row r="173" spans="4:10" x14ac:dyDescent="0.25">
      <c r="D173" s="3"/>
      <c r="E173" s="3"/>
      <c r="F173" s="3"/>
      <c r="G173" s="3"/>
      <c r="H173" s="3"/>
      <c r="I173" s="3"/>
      <c r="J173" s="3"/>
    </row>
    <row r="174" spans="4:10" x14ac:dyDescent="0.25">
      <c r="D174" s="3"/>
      <c r="E174" s="3"/>
      <c r="F174" s="3"/>
      <c r="G174" s="3"/>
      <c r="H174" s="3"/>
      <c r="I174" s="3"/>
      <c r="J174" s="3"/>
    </row>
    <row r="175" spans="4:10" x14ac:dyDescent="0.25">
      <c r="D175" s="3"/>
      <c r="E175" s="3"/>
      <c r="F175" s="3"/>
      <c r="G175" s="3"/>
      <c r="H175" s="3"/>
      <c r="I175" s="3"/>
      <c r="J175" s="3"/>
    </row>
    <row r="176" spans="4:10" x14ac:dyDescent="0.25">
      <c r="D176" s="3"/>
      <c r="E176" s="3"/>
      <c r="F176" s="3"/>
      <c r="G176" s="3"/>
      <c r="H176" s="3"/>
      <c r="I176" s="3"/>
      <c r="J176" s="3"/>
    </row>
    <row r="177" spans="4:10" x14ac:dyDescent="0.25">
      <c r="D177" s="3"/>
      <c r="E177" s="3"/>
      <c r="F177" s="3"/>
      <c r="G177" s="3"/>
      <c r="H177" s="3"/>
      <c r="I177" s="3"/>
      <c r="J177" s="3"/>
    </row>
    <row r="178" spans="4:10" x14ac:dyDescent="0.25">
      <c r="D178" s="3"/>
      <c r="E178" s="3"/>
      <c r="F178" s="3"/>
      <c r="G178" s="3"/>
      <c r="H178" s="3"/>
      <c r="I178" s="3"/>
      <c r="J178" s="3"/>
    </row>
    <row r="179" spans="4:10" x14ac:dyDescent="0.25">
      <c r="D179" s="3"/>
      <c r="E179" s="3"/>
      <c r="F179" s="3"/>
      <c r="G179" s="3"/>
      <c r="H179" s="3"/>
      <c r="I179" s="3"/>
      <c r="J179" s="3"/>
    </row>
    <row r="180" spans="4:10" x14ac:dyDescent="0.25">
      <c r="D180" s="3"/>
      <c r="E180" s="3"/>
      <c r="F180" s="3"/>
      <c r="G180" s="3"/>
      <c r="H180" s="3"/>
      <c r="I180" s="3"/>
      <c r="J180" s="3"/>
    </row>
    <row r="181" spans="4:10" x14ac:dyDescent="0.25">
      <c r="D181" s="3"/>
      <c r="E181" s="3"/>
      <c r="F181" s="3"/>
      <c r="G181" s="3"/>
      <c r="H181" s="3"/>
      <c r="I181" s="3"/>
      <c r="J181" s="3"/>
    </row>
    <row r="182" spans="4:10" x14ac:dyDescent="0.25">
      <c r="D182" s="3"/>
      <c r="E182" s="3"/>
      <c r="F182" s="3"/>
      <c r="G182" s="3"/>
      <c r="H182" s="3"/>
      <c r="I182" s="3"/>
      <c r="J182" s="3"/>
    </row>
    <row r="183" spans="4:10" x14ac:dyDescent="0.25">
      <c r="D183" s="3"/>
      <c r="E183" s="3"/>
      <c r="F183" s="3"/>
      <c r="G183" s="3"/>
      <c r="H183" s="3"/>
      <c r="I183" s="3"/>
      <c r="J183" s="3"/>
    </row>
    <row r="184" spans="4:10" x14ac:dyDescent="0.25">
      <c r="D184" s="3"/>
      <c r="E184" s="3"/>
      <c r="F184" s="3"/>
      <c r="G184" s="3"/>
      <c r="H184" s="3"/>
      <c r="I184" s="3"/>
      <c r="J184" s="3"/>
    </row>
    <row r="185" spans="4:10" x14ac:dyDescent="0.25">
      <c r="D185" s="3"/>
      <c r="E185" s="3"/>
      <c r="F185" s="3"/>
      <c r="G185" s="3"/>
      <c r="H185" s="3"/>
      <c r="I185" s="3"/>
      <c r="J185" s="3"/>
    </row>
    <row r="186" spans="4:10" x14ac:dyDescent="0.25">
      <c r="D186" s="3"/>
      <c r="E186" s="3"/>
      <c r="F186" s="3"/>
      <c r="G186" s="3"/>
      <c r="H186" s="3"/>
      <c r="I186" s="3"/>
      <c r="J186" s="3"/>
    </row>
    <row r="187" spans="4:10" x14ac:dyDescent="0.25">
      <c r="D187" s="3"/>
      <c r="E187" s="3"/>
      <c r="F187" s="3"/>
      <c r="G187" s="3"/>
      <c r="H187" s="3"/>
      <c r="I187" s="3"/>
      <c r="J187" s="3"/>
    </row>
    <row r="188" spans="4:10" x14ac:dyDescent="0.25">
      <c r="D188" s="3"/>
      <c r="E188" s="3"/>
      <c r="F188" s="3"/>
      <c r="G188" s="3"/>
      <c r="H188" s="3"/>
      <c r="I188" s="3"/>
      <c r="J188" s="3"/>
    </row>
    <row r="189" spans="4:10" x14ac:dyDescent="0.25">
      <c r="D189" s="3"/>
      <c r="E189" s="3"/>
      <c r="F189" s="3"/>
      <c r="G189" s="3"/>
      <c r="H189" s="3"/>
      <c r="I189" s="3"/>
      <c r="J189" s="3"/>
    </row>
    <row r="190" spans="4:10" x14ac:dyDescent="0.25">
      <c r="D190" s="3"/>
      <c r="E190" s="3"/>
      <c r="F190" s="3"/>
      <c r="G190" s="3"/>
      <c r="H190" s="3"/>
      <c r="I190" s="3"/>
      <c r="J190" s="3"/>
    </row>
    <row r="191" spans="4:10" x14ac:dyDescent="0.25">
      <c r="D191" s="3"/>
      <c r="E191" s="3"/>
      <c r="F191" s="3"/>
      <c r="G191" s="3"/>
      <c r="H191" s="3"/>
      <c r="I191" s="3"/>
      <c r="J191" s="3"/>
    </row>
    <row r="192" spans="4:10" x14ac:dyDescent="0.25">
      <c r="D192" s="3"/>
      <c r="E192" s="3"/>
      <c r="F192" s="3"/>
      <c r="G192" s="3"/>
      <c r="H192" s="3"/>
      <c r="I192" s="3"/>
      <c r="J192" s="3"/>
    </row>
    <row r="193" spans="4:10" x14ac:dyDescent="0.25">
      <c r="D193" s="3"/>
      <c r="E193" s="3"/>
      <c r="F193" s="3"/>
      <c r="G193" s="3"/>
      <c r="H193" s="3"/>
      <c r="I193" s="3"/>
      <c r="J193" s="3"/>
    </row>
    <row r="194" spans="4:10" x14ac:dyDescent="0.25">
      <c r="D194" s="3"/>
      <c r="E194" s="3"/>
      <c r="F194" s="3"/>
      <c r="G194" s="3"/>
      <c r="H194" s="3"/>
      <c r="I194" s="3"/>
      <c r="J194" s="3"/>
    </row>
    <row r="195" spans="4:10" x14ac:dyDescent="0.25">
      <c r="D195" s="3"/>
      <c r="E195" s="3"/>
      <c r="F195" s="3"/>
      <c r="G195" s="3"/>
      <c r="H195" s="3"/>
      <c r="I195" s="3"/>
      <c r="J195" s="3"/>
    </row>
  </sheetData>
  <mergeCells count="3">
    <mergeCell ref="C3:J3"/>
    <mergeCell ref="C4:J4"/>
    <mergeCell ref="C7:L7"/>
  </mergeCells>
  <pageMargins left="0.25" right="0.25" top="0.75" bottom="0.75" header="0.3" footer="0.3"/>
  <pageSetup paperSize="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activeCell="B30" sqref="B30"/>
    </sheetView>
  </sheetViews>
  <sheetFormatPr defaultRowHeight="15" x14ac:dyDescent="0.25"/>
  <cols>
    <col min="1" max="1" width="5.28515625" customWidth="1"/>
    <col min="2" max="2" width="66.85546875" customWidth="1"/>
    <col min="3" max="3" width="13.42578125" customWidth="1"/>
    <col min="4" max="4" width="9.85546875" customWidth="1"/>
    <col min="5" max="5" width="16" customWidth="1"/>
    <col min="6" max="6" width="16.5703125" customWidth="1"/>
  </cols>
  <sheetData>
    <row r="1" spans="1:6" x14ac:dyDescent="0.25">
      <c r="C1" s="101"/>
      <c r="D1" s="101"/>
    </row>
    <row r="2" spans="1:6" x14ac:dyDescent="0.25">
      <c r="A2" s="25" t="s">
        <v>35</v>
      </c>
      <c r="B2" s="25" t="s">
        <v>36</v>
      </c>
      <c r="C2" s="1" t="s">
        <v>64</v>
      </c>
      <c r="D2" s="108" t="s">
        <v>65</v>
      </c>
      <c r="E2" s="108" t="s">
        <v>63</v>
      </c>
      <c r="F2" s="103" t="s">
        <v>66</v>
      </c>
    </row>
    <row r="3" spans="1:6" x14ac:dyDescent="0.25">
      <c r="A3" t="s">
        <v>37</v>
      </c>
      <c r="B3" s="25" t="s">
        <v>38</v>
      </c>
      <c r="C3" s="102">
        <v>2586000</v>
      </c>
      <c r="D3" s="105">
        <v>6.0999999999999999E-2</v>
      </c>
      <c r="E3" s="106">
        <f>C3+C3*D3</f>
        <v>2743746</v>
      </c>
      <c r="F3" s="102">
        <v>2744000</v>
      </c>
    </row>
    <row r="4" spans="1:6" x14ac:dyDescent="0.25">
      <c r="A4" t="s">
        <v>39</v>
      </c>
      <c r="B4" s="25" t="s">
        <v>40</v>
      </c>
      <c r="C4" s="102">
        <v>309000</v>
      </c>
      <c r="D4" s="105">
        <v>-2.8000000000000001E-2</v>
      </c>
      <c r="E4" s="106">
        <f t="shared" ref="E4:E5" si="0">C4+C4*D4</f>
        <v>300348</v>
      </c>
      <c r="F4" s="102">
        <v>300000</v>
      </c>
    </row>
    <row r="5" spans="1:6" x14ac:dyDescent="0.25">
      <c r="A5" t="s">
        <v>41</v>
      </c>
      <c r="B5" s="25" t="s">
        <v>42</v>
      </c>
      <c r="C5" s="102">
        <v>538000</v>
      </c>
      <c r="D5" s="105">
        <v>-0.123</v>
      </c>
      <c r="E5" s="106">
        <f t="shared" si="0"/>
        <v>471826</v>
      </c>
      <c r="F5" s="102">
        <v>472000</v>
      </c>
    </row>
    <row r="6" spans="1:6" x14ac:dyDescent="0.25">
      <c r="A6" t="s">
        <v>43</v>
      </c>
      <c r="B6" s="25" t="s">
        <v>44</v>
      </c>
      <c r="C6" s="102">
        <v>3778000</v>
      </c>
      <c r="D6" s="105">
        <v>-2.9000000000000001E-2</v>
      </c>
      <c r="E6" s="106">
        <f>C6+C6*D6</f>
        <v>3668438</v>
      </c>
      <c r="F6" s="102">
        <v>3668000</v>
      </c>
    </row>
    <row r="7" spans="1:6" x14ac:dyDescent="0.25">
      <c r="A7" t="s">
        <v>45</v>
      </c>
      <c r="B7" t="s">
        <v>61</v>
      </c>
      <c r="C7" s="102">
        <v>300000</v>
      </c>
      <c r="D7" s="101"/>
      <c r="E7" s="102">
        <v>250000</v>
      </c>
      <c r="F7" s="102">
        <v>250000</v>
      </c>
    </row>
    <row r="8" spans="1:6" x14ac:dyDescent="0.25">
      <c r="A8" t="s">
        <v>46</v>
      </c>
      <c r="B8" s="25" t="s">
        <v>47</v>
      </c>
      <c r="C8" s="102">
        <v>9173000</v>
      </c>
      <c r="D8" s="105">
        <v>1.6E-2</v>
      </c>
      <c r="E8" s="106">
        <f>C8+C8*D8</f>
        <v>9319768</v>
      </c>
      <c r="F8" s="102">
        <v>9320000</v>
      </c>
    </row>
    <row r="9" spans="1:6" x14ac:dyDescent="0.25">
      <c r="A9" t="s">
        <v>48</v>
      </c>
      <c r="B9" t="s">
        <v>60</v>
      </c>
      <c r="C9" s="102">
        <v>50000</v>
      </c>
      <c r="D9" s="101"/>
      <c r="E9" s="102">
        <v>50000</v>
      </c>
      <c r="F9" s="102">
        <v>50000</v>
      </c>
    </row>
    <row r="10" spans="1:6" x14ac:dyDescent="0.25">
      <c r="A10" t="s">
        <v>49</v>
      </c>
      <c r="B10" t="s">
        <v>50</v>
      </c>
      <c r="C10" s="102">
        <v>35000</v>
      </c>
      <c r="D10" s="101"/>
      <c r="E10" s="102">
        <v>35000</v>
      </c>
      <c r="F10" s="102">
        <v>35000</v>
      </c>
    </row>
    <row r="11" spans="1:6" x14ac:dyDescent="0.25">
      <c r="A11" t="s">
        <v>51</v>
      </c>
      <c r="B11" t="s">
        <v>52</v>
      </c>
      <c r="C11" s="102">
        <v>10000</v>
      </c>
      <c r="D11" s="101"/>
      <c r="E11" s="102">
        <v>10000</v>
      </c>
      <c r="F11" s="102">
        <v>10000</v>
      </c>
    </row>
    <row r="12" spans="1:6" x14ac:dyDescent="0.25">
      <c r="A12" t="s">
        <v>53</v>
      </c>
      <c r="B12" t="s">
        <v>62</v>
      </c>
      <c r="C12" s="102">
        <v>780000</v>
      </c>
      <c r="D12" s="101"/>
      <c r="E12" s="102">
        <v>870000</v>
      </c>
      <c r="F12" s="102">
        <v>870000</v>
      </c>
    </row>
    <row r="13" spans="1:6" x14ac:dyDescent="0.25">
      <c r="A13" t="s">
        <v>54</v>
      </c>
      <c r="B13" t="s">
        <v>55</v>
      </c>
      <c r="C13" s="102">
        <v>20000</v>
      </c>
      <c r="D13" s="101"/>
      <c r="E13" s="102">
        <v>10000</v>
      </c>
      <c r="F13" s="102">
        <v>10000</v>
      </c>
    </row>
    <row r="14" spans="1:6" x14ac:dyDescent="0.25">
      <c r="A14" t="s">
        <v>56</v>
      </c>
      <c r="B14" s="25" t="s">
        <v>57</v>
      </c>
      <c r="C14" s="102">
        <v>90000</v>
      </c>
      <c r="D14" s="105">
        <v>0.8</v>
      </c>
      <c r="E14" s="106">
        <f>C14+C14*D14</f>
        <v>162000</v>
      </c>
      <c r="F14" s="102">
        <v>162000</v>
      </c>
    </row>
    <row r="15" spans="1:6" x14ac:dyDescent="0.25">
      <c r="A15" t="s">
        <v>58</v>
      </c>
      <c r="B15" s="25" t="s">
        <v>59</v>
      </c>
      <c r="C15" s="102">
        <v>480000</v>
      </c>
      <c r="D15" s="105">
        <v>0.80200000000000005</v>
      </c>
      <c r="E15" s="106">
        <f>C15+C15*D15</f>
        <v>864960</v>
      </c>
      <c r="F15" s="102">
        <v>865000</v>
      </c>
    </row>
    <row r="16" spans="1:6" x14ac:dyDescent="0.25">
      <c r="C16" s="104">
        <f>SUM(C3:C15)</f>
        <v>18149000</v>
      </c>
      <c r="D16" s="101"/>
      <c r="E16" s="104">
        <f>SUM(E3:E15)</f>
        <v>18756086</v>
      </c>
      <c r="F16" s="104">
        <f>SUM(F3:F15)</f>
        <v>18756000</v>
      </c>
    </row>
    <row r="17" spans="3:6" x14ac:dyDescent="0.25">
      <c r="C17" s="101"/>
      <c r="D17" s="101"/>
      <c r="E17" s="101"/>
      <c r="F17" s="101"/>
    </row>
    <row r="18" spans="3:6" x14ac:dyDescent="0.25">
      <c r="C18" s="101"/>
      <c r="D18" s="101"/>
      <c r="E18" s="101"/>
      <c r="F18" s="101"/>
    </row>
    <row r="19" spans="3:6" x14ac:dyDescent="0.25">
      <c r="C19" s="101"/>
      <c r="D19" s="101"/>
      <c r="E19" s="101"/>
      <c r="F19" s="101"/>
    </row>
    <row r="20" spans="3:6" x14ac:dyDescent="0.25">
      <c r="C20" s="101"/>
      <c r="D20" s="101"/>
      <c r="E20" s="101"/>
      <c r="F20" s="101"/>
    </row>
    <row r="21" spans="3:6" x14ac:dyDescent="0.25">
      <c r="C21" s="101"/>
      <c r="D21" s="101"/>
      <c r="E21" s="101"/>
      <c r="F21" s="101"/>
    </row>
    <row r="22" spans="3:6" x14ac:dyDescent="0.25">
      <c r="C22" s="101"/>
      <c r="D22" s="101"/>
      <c r="E22" s="101"/>
      <c r="F22" s="101"/>
    </row>
    <row r="23" spans="3:6" x14ac:dyDescent="0.25">
      <c r="C23" s="101"/>
      <c r="D23" s="101"/>
      <c r="E23" s="101"/>
      <c r="F23" s="101"/>
    </row>
    <row r="24" spans="3:6" x14ac:dyDescent="0.25">
      <c r="C24" s="101"/>
      <c r="D24" s="101"/>
      <c r="E24" s="101"/>
      <c r="F24" s="101"/>
    </row>
    <row r="25" spans="3:6" x14ac:dyDescent="0.25">
      <c r="C25" s="101"/>
      <c r="D25" s="107"/>
      <c r="E25" s="101"/>
      <c r="F25" s="101"/>
    </row>
    <row r="26" spans="3:6" x14ac:dyDescent="0.25">
      <c r="C26" s="101"/>
      <c r="D26" s="101"/>
      <c r="E26" s="101"/>
      <c r="F26" s="101"/>
    </row>
    <row r="27" spans="3:6" x14ac:dyDescent="0.25">
      <c r="D27" s="101"/>
      <c r="E27" s="101"/>
      <c r="F27" s="101"/>
    </row>
    <row r="28" spans="3:6" x14ac:dyDescent="0.25">
      <c r="D28" s="101"/>
      <c r="E28" s="101"/>
      <c r="F28" s="101"/>
    </row>
    <row r="29" spans="3:6" x14ac:dyDescent="0.25">
      <c r="D29" s="101"/>
      <c r="E29" s="101"/>
      <c r="F29" s="101"/>
    </row>
    <row r="30" spans="3:6" x14ac:dyDescent="0.25">
      <c r="D30" s="101"/>
      <c r="E30" s="101"/>
      <c r="F30" s="101"/>
    </row>
    <row r="31" spans="3:6" x14ac:dyDescent="0.25">
      <c r="D31" s="101"/>
      <c r="E31" s="101"/>
      <c r="F31" s="101"/>
    </row>
    <row r="32" spans="3:6" x14ac:dyDescent="0.25">
      <c r="F32" s="10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Střednědobý výhled</vt:lpstr>
      <vt:lpstr>Příjmy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Doležal Marek</dc:creator>
  <cp:lastModifiedBy>Drahomíra Hlavničková</cp:lastModifiedBy>
  <cp:lastPrinted>2022-12-13T08:12:47Z</cp:lastPrinted>
  <dcterms:created xsi:type="dcterms:W3CDTF">2019-11-17T16:29:56Z</dcterms:created>
  <dcterms:modified xsi:type="dcterms:W3CDTF">2025-12-15T13:43:33Z</dcterms:modified>
</cp:coreProperties>
</file>